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90" yWindow="525" windowWidth="14805" windowHeight="7950"/>
  </bookViews>
  <sheets>
    <sheet name="Foglio1" sheetId="1" r:id="rId1"/>
    <sheet name="Foglio2" sheetId="2" r:id="rId2"/>
    <sheet name="Foglio3" sheetId="3" r:id="rId3"/>
    <sheet name="Foglio4" sheetId="4" r:id="rId4"/>
  </sheets>
  <calcPr calcId="125725"/>
</workbook>
</file>

<file path=xl/calcChain.xml><?xml version="1.0" encoding="utf-8"?>
<calcChain xmlns="http://schemas.openxmlformats.org/spreadsheetml/2006/main">
  <c r="E8" i="4"/>
  <c r="E6"/>
  <c r="E7"/>
  <c r="E9"/>
  <c r="E5"/>
  <c r="B11" l="1"/>
  <c r="E11" s="1"/>
  <c r="E4"/>
  <c r="L59" i="2" l="1"/>
  <c r="H18" l="1"/>
  <c r="H27"/>
  <c r="H36"/>
  <c r="H45"/>
  <c r="H54"/>
  <c r="E53"/>
  <c r="E52"/>
  <c r="E51"/>
  <c r="E50"/>
  <c r="D53"/>
  <c r="D52"/>
  <c r="D51"/>
  <c r="D50"/>
  <c r="E44"/>
  <c r="E43"/>
  <c r="E42"/>
  <c r="E41"/>
  <c r="D44"/>
  <c r="D43"/>
  <c r="D42"/>
  <c r="D41"/>
  <c r="E35"/>
  <c r="E34"/>
  <c r="E33"/>
  <c r="E32"/>
  <c r="D35"/>
  <c r="D34"/>
  <c r="D33"/>
  <c r="D32"/>
  <c r="E26"/>
  <c r="E25"/>
  <c r="E24"/>
  <c r="E23"/>
  <c r="D26"/>
  <c r="D25"/>
  <c r="D24"/>
  <c r="D23"/>
  <c r="E17"/>
  <c r="E16"/>
  <c r="E15"/>
  <c r="E14"/>
  <c r="D17"/>
  <c r="D16"/>
  <c r="D15"/>
  <c r="D14"/>
  <c r="E8"/>
  <c r="E62" s="1"/>
  <c r="D8"/>
  <c r="E7"/>
  <c r="D7"/>
  <c r="E6"/>
  <c r="D6"/>
  <c r="E5"/>
  <c r="D5"/>
  <c r="D59" s="1"/>
  <c r="C53"/>
  <c r="F53" s="1"/>
  <c r="C52"/>
  <c r="F52" s="1"/>
  <c r="C51"/>
  <c r="C50"/>
  <c r="F50" s="1"/>
  <c r="G50" s="1"/>
  <c r="C44"/>
  <c r="F44" s="1"/>
  <c r="C34"/>
  <c r="F34" s="1"/>
  <c r="C43"/>
  <c r="F43" s="1"/>
  <c r="C42"/>
  <c r="C41"/>
  <c r="C35"/>
  <c r="C33"/>
  <c r="F33" s="1"/>
  <c r="C32"/>
  <c r="F32" s="1"/>
  <c r="G32" s="1"/>
  <c r="C8"/>
  <c r="C7"/>
  <c r="C6"/>
  <c r="C5"/>
  <c r="C26"/>
  <c r="F26" s="1"/>
  <c r="C25"/>
  <c r="F25" s="1"/>
  <c r="C24"/>
  <c r="F24" s="1"/>
  <c r="C23"/>
  <c r="C17"/>
  <c r="F17" s="1"/>
  <c r="C16"/>
  <c r="F16" s="1"/>
  <c r="C15"/>
  <c r="F15" s="1"/>
  <c r="C14"/>
  <c r="H9"/>
  <c r="BG21" i="1"/>
  <c r="F4"/>
  <c r="BK4" s="1"/>
  <c r="L5" i="2" l="1"/>
  <c r="L50"/>
  <c r="L32"/>
  <c r="F51"/>
  <c r="G51" s="1"/>
  <c r="I51" s="1"/>
  <c r="E59"/>
  <c r="D61"/>
  <c r="F14"/>
  <c r="G14" s="1"/>
  <c r="E60"/>
  <c r="F42"/>
  <c r="G42" s="1"/>
  <c r="L41"/>
  <c r="F23"/>
  <c r="G23" s="1"/>
  <c r="F6"/>
  <c r="G6" s="1"/>
  <c r="I6" s="1"/>
  <c r="L14"/>
  <c r="F7"/>
  <c r="G7" s="1"/>
  <c r="I7" s="1"/>
  <c r="D62"/>
  <c r="L23"/>
  <c r="F5"/>
  <c r="F41"/>
  <c r="G41" s="1"/>
  <c r="I32"/>
  <c r="I50"/>
  <c r="H63"/>
  <c r="C62"/>
  <c r="L6"/>
  <c r="L15"/>
  <c r="L24"/>
  <c r="L33"/>
  <c r="L42"/>
  <c r="L51"/>
  <c r="C45"/>
  <c r="C18"/>
  <c r="C27"/>
  <c r="L7"/>
  <c r="L16"/>
  <c r="L25"/>
  <c r="L34"/>
  <c r="L43"/>
  <c r="L52"/>
  <c r="E61"/>
  <c r="D60"/>
  <c r="L8"/>
  <c r="L17"/>
  <c r="L26"/>
  <c r="L35"/>
  <c r="L44"/>
  <c r="L53"/>
  <c r="F8"/>
  <c r="G8" s="1"/>
  <c r="F35"/>
  <c r="G17"/>
  <c r="I17" s="1"/>
  <c r="G26"/>
  <c r="I26" s="1"/>
  <c r="G44"/>
  <c r="I44" s="1"/>
  <c r="G53"/>
  <c r="I53" s="1"/>
  <c r="G24"/>
  <c r="I24" s="1"/>
  <c r="G33"/>
  <c r="I33" s="1"/>
  <c r="G16"/>
  <c r="I16" s="1"/>
  <c r="G34"/>
  <c r="I34" s="1"/>
  <c r="G52"/>
  <c r="I52" s="1"/>
  <c r="G25"/>
  <c r="G43"/>
  <c r="I43" s="1"/>
  <c r="G15"/>
  <c r="I15" s="1"/>
  <c r="C61"/>
  <c r="C59"/>
  <c r="C60"/>
  <c r="D18"/>
  <c r="E18"/>
  <c r="D27"/>
  <c r="E27"/>
  <c r="D36"/>
  <c r="E36"/>
  <c r="D45"/>
  <c r="E45"/>
  <c r="D54"/>
  <c r="E54"/>
  <c r="D9"/>
  <c r="E9"/>
  <c r="C54"/>
  <c r="C36"/>
  <c r="C9"/>
  <c r="BL4" i="1"/>
  <c r="BJ4"/>
  <c r="N5" i="2" l="1"/>
  <c r="D4" i="3" s="1"/>
  <c r="F4" s="1"/>
  <c r="F27" i="2"/>
  <c r="F54"/>
  <c r="F60"/>
  <c r="G60" s="1"/>
  <c r="I60" s="1"/>
  <c r="F18"/>
  <c r="F62"/>
  <c r="G62" s="1"/>
  <c r="G27"/>
  <c r="N32"/>
  <c r="R32" s="1"/>
  <c r="I14"/>
  <c r="P14" s="1"/>
  <c r="F61"/>
  <c r="F45"/>
  <c r="N50"/>
  <c r="R50" s="1"/>
  <c r="C63"/>
  <c r="D63"/>
  <c r="G35"/>
  <c r="G36" s="1"/>
  <c r="I23"/>
  <c r="P23" s="1"/>
  <c r="L60"/>
  <c r="N59" s="1"/>
  <c r="P50"/>
  <c r="I54"/>
  <c r="C9" i="3" s="1"/>
  <c r="P32" i="2"/>
  <c r="I25"/>
  <c r="I42"/>
  <c r="L62"/>
  <c r="I62"/>
  <c r="G54"/>
  <c r="O23"/>
  <c r="N14"/>
  <c r="I35"/>
  <c r="I36" s="1"/>
  <c r="C7" i="3" s="1"/>
  <c r="F9" i="2"/>
  <c r="F36"/>
  <c r="O41"/>
  <c r="F59"/>
  <c r="G59" s="1"/>
  <c r="I41"/>
  <c r="S32"/>
  <c r="O32"/>
  <c r="S50"/>
  <c r="V50" s="1"/>
  <c r="W50" s="1"/>
  <c r="S14"/>
  <c r="O14"/>
  <c r="N23"/>
  <c r="R23" s="1"/>
  <c r="O5"/>
  <c r="U5" s="1"/>
  <c r="S41"/>
  <c r="O50"/>
  <c r="S23"/>
  <c r="V23" s="1"/>
  <c r="W23" s="1"/>
  <c r="N41"/>
  <c r="R41" s="1"/>
  <c r="I8"/>
  <c r="S5"/>
  <c r="G61"/>
  <c r="I61" s="1"/>
  <c r="L61"/>
  <c r="G45"/>
  <c r="E63"/>
  <c r="F27" i="1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V32" i="2" l="1"/>
  <c r="W32" s="1"/>
  <c r="V41"/>
  <c r="W41" s="1"/>
  <c r="N2"/>
  <c r="R59"/>
  <c r="U41"/>
  <c r="U23"/>
  <c r="U14"/>
  <c r="U50"/>
  <c r="U32"/>
  <c r="D7" i="3"/>
  <c r="F7" s="1"/>
  <c r="D9"/>
  <c r="F9" s="1"/>
  <c r="I18" i="2"/>
  <c r="R14" s="1"/>
  <c r="V14" s="1"/>
  <c r="W14" s="1"/>
  <c r="F63"/>
  <c r="Q32"/>
  <c r="Q50"/>
  <c r="D8" i="3"/>
  <c r="F8" s="1"/>
  <c r="D6"/>
  <c r="F6" s="1"/>
  <c r="I27" i="2"/>
  <c r="C6" i="3" s="1"/>
  <c r="S59" i="2"/>
  <c r="I59"/>
  <c r="P59" s="1"/>
  <c r="P41"/>
  <c r="I45"/>
  <c r="D5" i="3"/>
  <c r="F5" s="1"/>
  <c r="O59" i="2"/>
  <c r="U59" s="1"/>
  <c r="BK10" i="1"/>
  <c r="BL10"/>
  <c r="BJ10"/>
  <c r="BK8"/>
  <c r="BL8"/>
  <c r="BJ8"/>
  <c r="BK12"/>
  <c r="BJ12"/>
  <c r="BL12"/>
  <c r="BK16"/>
  <c r="BL16"/>
  <c r="BJ16"/>
  <c r="BK20"/>
  <c r="BJ20"/>
  <c r="BL20"/>
  <c r="BK24"/>
  <c r="BL24"/>
  <c r="BJ24"/>
  <c r="BL5"/>
  <c r="BJ5"/>
  <c r="BK5"/>
  <c r="BL9"/>
  <c r="BK9"/>
  <c r="BJ9"/>
  <c r="BL13"/>
  <c r="BK13"/>
  <c r="BJ13"/>
  <c r="BL17"/>
  <c r="BJ17"/>
  <c r="BK17"/>
  <c r="BL21"/>
  <c r="BK21"/>
  <c r="BJ21"/>
  <c r="BL25"/>
  <c r="BK25"/>
  <c r="BJ25"/>
  <c r="BJ6"/>
  <c r="BL6"/>
  <c r="BK6"/>
  <c r="BK14"/>
  <c r="BJ14"/>
  <c r="BL14"/>
  <c r="BL18"/>
  <c r="BK18"/>
  <c r="BJ18"/>
  <c r="BJ22"/>
  <c r="BL22"/>
  <c r="BK22"/>
  <c r="BK26"/>
  <c r="BL26"/>
  <c r="BJ26"/>
  <c r="BJ7"/>
  <c r="BL7"/>
  <c r="BK7"/>
  <c r="BJ11"/>
  <c r="BL11"/>
  <c r="BK11"/>
  <c r="BJ15"/>
  <c r="BL15"/>
  <c r="BK15"/>
  <c r="BJ19"/>
  <c r="BK19"/>
  <c r="BL19"/>
  <c r="BJ23"/>
  <c r="BL23"/>
  <c r="BK23"/>
  <c r="BJ27"/>
  <c r="BK27"/>
  <c r="BL27"/>
  <c r="V59" i="2" l="1"/>
  <c r="W59" s="1"/>
  <c r="D11" i="3"/>
  <c r="F11" s="1"/>
  <c r="Q14" i="2"/>
  <c r="C5" i="3"/>
  <c r="Q41" i="2"/>
  <c r="C8" i="3"/>
  <c r="Q23" i="2"/>
  <c r="G18"/>
  <c r="G5"/>
  <c r="G9" l="1"/>
  <c r="I5"/>
  <c r="P5" s="1"/>
  <c r="R5" s="1"/>
  <c r="V5" s="1"/>
  <c r="W5" s="1"/>
  <c r="I9" l="1"/>
  <c r="C4" i="3" s="1"/>
  <c r="C11" s="1"/>
  <c r="G63" i="2"/>
  <c r="I63" l="1"/>
  <c r="Q59" s="1"/>
  <c r="Q5"/>
</calcChain>
</file>

<file path=xl/comments1.xml><?xml version="1.0" encoding="utf-8"?>
<comments xmlns="http://schemas.openxmlformats.org/spreadsheetml/2006/main">
  <authors>
    <author>Author</author>
  </authors>
  <commentList>
    <comment ref="BH21" authorId="0">
      <text>
        <r>
          <rPr>
            <b/>
            <sz val="9"/>
            <color indexed="81"/>
            <rFont val="Tahoma"/>
            <family val="2"/>
          </rPr>
          <t>EU FORESEEN:
8.314,80 euro</t>
        </r>
      </text>
    </comment>
  </commentList>
</comments>
</file>

<file path=xl/sharedStrings.xml><?xml version="1.0" encoding="utf-8"?>
<sst xmlns="http://schemas.openxmlformats.org/spreadsheetml/2006/main" count="346" uniqueCount="82">
  <si>
    <t>HOSTING INSTITUTION</t>
  </si>
  <si>
    <t>SENDING INSTITUTION</t>
  </si>
  <si>
    <t>Type</t>
  </si>
  <si>
    <t>Total PM</t>
  </si>
  <si>
    <t>Active in WP</t>
  </si>
  <si>
    <t>YEAR 1</t>
  </si>
  <si>
    <t>YEAR 2</t>
  </si>
  <si>
    <t>YEAR 3</t>
  </si>
  <si>
    <t>YEAR 4</t>
  </si>
  <si>
    <t>PRIELE</t>
  </si>
  <si>
    <t>CAEN</t>
  </si>
  <si>
    <t>UNIPI</t>
  </si>
  <si>
    <t>AUTH</t>
  </si>
  <si>
    <t>CERN</t>
  </si>
  <si>
    <t>CNRS</t>
  </si>
  <si>
    <t>-</t>
  </si>
  <si>
    <t>2, 4</t>
  </si>
  <si>
    <t>1, 3, 4</t>
  </si>
  <si>
    <t>1, 3</t>
  </si>
  <si>
    <t>6, 2</t>
  </si>
  <si>
    <t>MER</t>
  </si>
  <si>
    <t>ESR</t>
  </si>
  <si>
    <t>ER</t>
  </si>
  <si>
    <t>LIVING (1)</t>
  </si>
  <si>
    <t>MOBILITY (2)</t>
  </si>
  <si>
    <t>TRAINING (3)</t>
  </si>
  <si>
    <t>Contract</t>
  </si>
  <si>
    <t>21B</t>
  </si>
  <si>
    <t>7B</t>
  </si>
  <si>
    <t>22B</t>
  </si>
  <si>
    <t>23A</t>
  </si>
  <si>
    <t>24A</t>
  </si>
  <si>
    <t>2A</t>
  </si>
  <si>
    <t>17A</t>
  </si>
  <si>
    <t>1A</t>
  </si>
  <si>
    <t>18A</t>
  </si>
  <si>
    <t>19A</t>
  </si>
  <si>
    <t>3A</t>
  </si>
  <si>
    <t>15A</t>
  </si>
  <si>
    <t>20A</t>
  </si>
  <si>
    <t>14A</t>
  </si>
  <si>
    <t>8B</t>
  </si>
  <si>
    <t>9B</t>
  </si>
  <si>
    <t>10A</t>
  </si>
  <si>
    <t>12A</t>
  </si>
  <si>
    <t>13B</t>
  </si>
  <si>
    <t>16B</t>
  </si>
  <si>
    <t>4A</t>
  </si>
  <si>
    <t>5A</t>
  </si>
  <si>
    <t>6B</t>
  </si>
  <si>
    <t>25A</t>
  </si>
  <si>
    <t>TOTALS</t>
  </si>
  <si>
    <t>MONTHLY</t>
  </si>
  <si>
    <t>B</t>
  </si>
  <si>
    <t>A</t>
  </si>
  <si>
    <t>FELLOW</t>
  </si>
  <si>
    <t>MANAGEMENT (4)</t>
  </si>
  <si>
    <t>OVERHEADS (5)</t>
  </si>
  <si>
    <t>TOTAL</t>
  </si>
  <si>
    <t>X</t>
  </si>
  <si>
    <t>OTHER (6)</t>
  </si>
  <si>
    <t>PREFINANCING</t>
  </si>
  <si>
    <t>% TR.(3) OUT</t>
  </si>
  <si>
    <t>OUTCOMES 1</t>
  </si>
  <si>
    <t>OUTCOMES 2</t>
  </si>
  <si>
    <t>K MANAG.</t>
  </si>
  <si>
    <t>YEARLY OUTCOMES</t>
  </si>
  <si>
    <t>tot PRE</t>
  </si>
  <si>
    <t>delta</t>
  </si>
  <si>
    <t>tentative REVIEW 1</t>
  </si>
  <si>
    <t>tentative % INCOME REACHED</t>
  </si>
  <si>
    <t>REAL MAX INCOME REVIEW 1</t>
  </si>
  <si>
    <t>DEVIATION</t>
  </si>
  <si>
    <t>tot</t>
  </si>
  <si>
    <t>COVERAGE 1</t>
  </si>
  <si>
    <t>COVERAGE 2</t>
  </si>
  <si>
    <t>tentative % INCOME REACHED (85% rule)</t>
  </si>
  <si>
    <t>% coverage 2</t>
  </si>
  <si>
    <t>PREFINANCING ACCORDING TO THE 60% RULE</t>
  </si>
  <si>
    <t>PREFINANCING ACCORDING TO SIMULATED CASH-FLOW</t>
  </si>
  <si>
    <t>PRISMA</t>
  </si>
  <si>
    <t>COORDINATOR</t>
  </si>
</sst>
</file>

<file path=xl/styles.xml><?xml version="1.0" encoding="utf-8"?>
<styleSheet xmlns="http://schemas.openxmlformats.org/spreadsheetml/2006/main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0" xfId="0" applyNumberFormat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0" fillId="2" borderId="4" xfId="0" applyNumberFormat="1" applyFill="1" applyBorder="1"/>
    <xf numFmtId="165" fontId="0" fillId="2" borderId="0" xfId="0" applyNumberFormat="1" applyFill="1" applyBorder="1"/>
    <xf numFmtId="165" fontId="0" fillId="2" borderId="5" xfId="0" applyNumberFormat="1" applyFill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5" fontId="2" fillId="0" borderId="0" xfId="0" applyNumberFormat="1" applyFont="1"/>
    <xf numFmtId="164" fontId="0" fillId="0" borderId="0" xfId="1" applyFont="1"/>
    <xf numFmtId="164" fontId="2" fillId="0" borderId="0" xfId="1" applyFont="1"/>
    <xf numFmtId="165" fontId="0" fillId="0" borderId="0" xfId="1" applyNumberFormat="1" applyFont="1"/>
    <xf numFmtId="165" fontId="2" fillId="0" borderId="0" xfId="1" applyNumberFormat="1" applyFont="1"/>
    <xf numFmtId="9" fontId="0" fillId="0" borderId="0" xfId="0" applyNumberFormat="1"/>
    <xf numFmtId="164" fontId="0" fillId="0" borderId="0" xfId="0" applyNumberFormat="1"/>
    <xf numFmtId="9" fontId="0" fillId="0" borderId="0" xfId="2" applyFont="1"/>
    <xf numFmtId="0" fontId="5" fillId="0" borderId="0" xfId="0" applyFont="1"/>
    <xf numFmtId="0" fontId="6" fillId="0" borderId="0" xfId="0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4" fontId="0" fillId="0" borderId="0" xfId="1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164" fontId="8" fillId="0" borderId="0" xfId="1" applyFont="1"/>
    <xf numFmtId="0" fontId="8" fillId="0" borderId="0" xfId="0" applyFont="1"/>
    <xf numFmtId="164" fontId="8" fillId="0" borderId="0" xfId="0" applyNumberFormat="1" applyFont="1"/>
    <xf numFmtId="164" fontId="8" fillId="0" borderId="0" xfId="1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164" fontId="11" fillId="0" borderId="0" xfId="0" applyNumberFormat="1" applyFont="1"/>
    <xf numFmtId="0" fontId="12" fillId="0" borderId="0" xfId="0" applyFont="1"/>
    <xf numFmtId="9" fontId="11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Alignment="1">
      <alignment horizontal="center"/>
    </xf>
    <xf numFmtId="164" fontId="13" fillId="0" borderId="0" xfId="1" applyFont="1"/>
    <xf numFmtId="0" fontId="13" fillId="0" borderId="0" xfId="0" applyFont="1"/>
    <xf numFmtId="164" fontId="1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7"/>
  <sheetViews>
    <sheetView tabSelected="1" workbookViewId="0">
      <selection activeCell="BJ23" sqref="BJ23"/>
    </sheetView>
  </sheetViews>
  <sheetFormatPr defaultRowHeight="15"/>
  <cols>
    <col min="2" max="3" width="23.28515625" bestFit="1" customWidth="1"/>
    <col min="4" max="4" width="13" customWidth="1"/>
    <col min="8" max="16" width="2.140625" bestFit="1" customWidth="1"/>
    <col min="17" max="19" width="3.28515625" bestFit="1" customWidth="1"/>
    <col min="20" max="28" width="2.140625" bestFit="1" customWidth="1"/>
    <col min="29" max="31" width="3.28515625" bestFit="1" customWidth="1"/>
    <col min="32" max="40" width="2.140625" bestFit="1" customWidth="1"/>
    <col min="41" max="43" width="3.28515625" bestFit="1" customWidth="1"/>
    <col min="44" max="52" width="2.140625" bestFit="1" customWidth="1"/>
    <col min="53" max="55" width="3.28515625" bestFit="1" customWidth="1"/>
    <col min="56" max="56" width="7.42578125" customWidth="1"/>
    <col min="57" max="57" width="8.85546875" bestFit="1" customWidth="1"/>
    <col min="59" max="59" width="13.140625" bestFit="1" customWidth="1"/>
    <col min="60" max="60" width="12.28515625" bestFit="1" customWidth="1"/>
    <col min="61" max="61" width="12.7109375" bestFit="1" customWidth="1"/>
    <col min="62" max="62" width="11" bestFit="1" customWidth="1"/>
    <col min="63" max="63" width="12.28515625" bestFit="1" customWidth="1"/>
    <col min="64" max="64" width="12.7109375" bestFit="1" customWidth="1"/>
  </cols>
  <sheetData>
    <row r="1" spans="1:64" ht="15.75">
      <c r="B1" s="3"/>
      <c r="C1" s="3"/>
      <c r="D1" s="3"/>
      <c r="E1" s="3"/>
      <c r="F1" s="3"/>
      <c r="G1" s="3"/>
      <c r="H1" s="45" t="s">
        <v>5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45" t="s">
        <v>6</v>
      </c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  <c r="AF1" s="45" t="s">
        <v>7</v>
      </c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7"/>
      <c r="AR1" s="45" t="s">
        <v>8</v>
      </c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7"/>
      <c r="BD1" s="4"/>
      <c r="BE1" s="4"/>
    </row>
    <row r="2" spans="1:64" ht="15.75">
      <c r="B2" s="3"/>
      <c r="C2" s="3"/>
      <c r="D2" s="3"/>
      <c r="E2" s="3"/>
      <c r="F2" s="3"/>
      <c r="G2" s="3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5"/>
      <c r="U2" s="16"/>
      <c r="V2" s="16"/>
      <c r="W2" s="16"/>
      <c r="X2" s="16"/>
      <c r="Y2" s="16"/>
      <c r="Z2" s="16"/>
      <c r="AA2" s="16"/>
      <c r="AB2" s="16"/>
      <c r="AC2" s="16"/>
      <c r="AD2" s="16"/>
      <c r="AE2" s="17"/>
      <c r="AF2" s="15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7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7"/>
      <c r="BD2" s="4"/>
      <c r="BE2" s="4"/>
      <c r="BG2" s="44" t="s">
        <v>51</v>
      </c>
      <c r="BH2" s="44"/>
      <c r="BI2" s="44"/>
      <c r="BJ2" s="44" t="s">
        <v>52</v>
      </c>
      <c r="BK2" s="44"/>
      <c r="BL2" s="44"/>
    </row>
    <row r="3" spans="1:64" ht="15.75">
      <c r="B3" s="24" t="s">
        <v>0</v>
      </c>
      <c r="C3" s="25" t="s">
        <v>1</v>
      </c>
      <c r="D3" s="25" t="s">
        <v>4</v>
      </c>
      <c r="E3" s="25" t="s">
        <v>2</v>
      </c>
      <c r="F3" s="25" t="s">
        <v>3</v>
      </c>
      <c r="G3" s="26"/>
      <c r="H3" s="27">
        <v>1</v>
      </c>
      <c r="I3" s="26">
        <v>2</v>
      </c>
      <c r="J3" s="26">
        <v>3</v>
      </c>
      <c r="K3" s="26">
        <v>4</v>
      </c>
      <c r="L3" s="26">
        <v>5</v>
      </c>
      <c r="M3" s="26">
        <v>6</v>
      </c>
      <c r="N3" s="26">
        <v>7</v>
      </c>
      <c r="O3" s="26">
        <v>8</v>
      </c>
      <c r="P3" s="26">
        <v>9</v>
      </c>
      <c r="Q3" s="26">
        <v>10</v>
      </c>
      <c r="R3" s="26">
        <v>11</v>
      </c>
      <c r="S3" s="28">
        <v>12</v>
      </c>
      <c r="T3" s="27">
        <v>1</v>
      </c>
      <c r="U3" s="26">
        <v>2</v>
      </c>
      <c r="V3" s="26">
        <v>3</v>
      </c>
      <c r="W3" s="26">
        <v>4</v>
      </c>
      <c r="X3" s="26">
        <v>5</v>
      </c>
      <c r="Y3" s="26">
        <v>6</v>
      </c>
      <c r="Z3" s="26">
        <v>7</v>
      </c>
      <c r="AA3" s="26">
        <v>8</v>
      </c>
      <c r="AB3" s="26">
        <v>9</v>
      </c>
      <c r="AC3" s="26">
        <v>10</v>
      </c>
      <c r="AD3" s="26">
        <v>11</v>
      </c>
      <c r="AE3" s="28">
        <v>12</v>
      </c>
      <c r="AF3" s="27">
        <v>1</v>
      </c>
      <c r="AG3" s="26">
        <v>2</v>
      </c>
      <c r="AH3" s="26">
        <v>3</v>
      </c>
      <c r="AI3" s="26">
        <v>4</v>
      </c>
      <c r="AJ3" s="26">
        <v>5</v>
      </c>
      <c r="AK3" s="26">
        <v>6</v>
      </c>
      <c r="AL3" s="26">
        <v>7</v>
      </c>
      <c r="AM3" s="26">
        <v>8</v>
      </c>
      <c r="AN3" s="26">
        <v>9</v>
      </c>
      <c r="AO3" s="26">
        <v>10</v>
      </c>
      <c r="AP3" s="26">
        <v>11</v>
      </c>
      <c r="AQ3" s="28">
        <v>12</v>
      </c>
      <c r="AR3" s="27">
        <v>1</v>
      </c>
      <c r="AS3" s="26">
        <v>2</v>
      </c>
      <c r="AT3" s="26">
        <v>3</v>
      </c>
      <c r="AU3" s="26">
        <v>4</v>
      </c>
      <c r="AV3" s="26">
        <v>5</v>
      </c>
      <c r="AW3" s="26">
        <v>6</v>
      </c>
      <c r="AX3" s="26">
        <v>7</v>
      </c>
      <c r="AY3" s="26">
        <v>8</v>
      </c>
      <c r="AZ3" s="26">
        <v>9</v>
      </c>
      <c r="BA3" s="26">
        <v>10</v>
      </c>
      <c r="BB3" s="26">
        <v>11</v>
      </c>
      <c r="BC3" s="28">
        <v>12</v>
      </c>
      <c r="BD3" s="26"/>
      <c r="BE3" s="26" t="s">
        <v>55</v>
      </c>
      <c r="BF3" s="29" t="s">
        <v>26</v>
      </c>
      <c r="BG3" s="30" t="s">
        <v>23</v>
      </c>
      <c r="BH3" s="31" t="s">
        <v>24</v>
      </c>
      <c r="BI3" s="32" t="s">
        <v>25</v>
      </c>
      <c r="BJ3" s="30" t="s">
        <v>23</v>
      </c>
      <c r="BK3" s="31" t="s">
        <v>24</v>
      </c>
      <c r="BL3" s="32" t="s">
        <v>25</v>
      </c>
    </row>
    <row r="4" spans="1:64">
      <c r="A4" t="s">
        <v>59</v>
      </c>
      <c r="B4" t="s">
        <v>9</v>
      </c>
      <c r="C4" t="s">
        <v>11</v>
      </c>
      <c r="D4" s="1">
        <v>1</v>
      </c>
      <c r="E4" t="s">
        <v>20</v>
      </c>
      <c r="F4" s="1">
        <f t="shared" ref="F4:F27" si="0">SUM(H4:BC4)</f>
        <v>2</v>
      </c>
      <c r="H4" s="18"/>
      <c r="I4" s="19"/>
      <c r="J4" s="19"/>
      <c r="K4" s="19"/>
      <c r="L4" s="19"/>
      <c r="M4" s="19"/>
      <c r="N4" s="19">
        <v>1</v>
      </c>
      <c r="O4" s="19">
        <v>1</v>
      </c>
      <c r="P4" s="19"/>
      <c r="Q4" s="19"/>
      <c r="R4" s="19"/>
      <c r="S4" s="20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18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/>
      <c r="AR4" s="18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E4" t="s">
        <v>27</v>
      </c>
      <c r="BF4" t="s">
        <v>53</v>
      </c>
      <c r="BG4" s="6">
        <v>6912.5</v>
      </c>
      <c r="BH4" s="7">
        <v>1896</v>
      </c>
      <c r="BI4" s="8">
        <v>3600</v>
      </c>
      <c r="BJ4" s="6">
        <f t="shared" ref="BJ4:BJ27" si="1">BG4/F4</f>
        <v>3456.25</v>
      </c>
      <c r="BK4" s="7">
        <f t="shared" ref="BK4:BK27" si="2">BH4/F4</f>
        <v>948</v>
      </c>
      <c r="BL4" s="8">
        <f t="shared" ref="BL4:BL27" si="3">BI4/F4</f>
        <v>1800</v>
      </c>
    </row>
    <row r="5" spans="1:64">
      <c r="A5" t="s">
        <v>59</v>
      </c>
      <c r="B5" t="s">
        <v>10</v>
      </c>
      <c r="C5" t="s">
        <v>11</v>
      </c>
      <c r="D5" s="1">
        <v>2</v>
      </c>
      <c r="E5" t="s">
        <v>20</v>
      </c>
      <c r="F5" s="1">
        <f t="shared" si="0"/>
        <v>16</v>
      </c>
      <c r="H5" s="18"/>
      <c r="I5" s="19"/>
      <c r="J5" s="19"/>
      <c r="K5" s="19"/>
      <c r="L5" s="19"/>
      <c r="M5" s="19"/>
      <c r="N5" s="19"/>
      <c r="O5" s="19"/>
      <c r="P5" s="19"/>
      <c r="Q5" s="19">
        <v>1</v>
      </c>
      <c r="R5" s="19">
        <v>1</v>
      </c>
      <c r="S5" s="20">
        <v>1</v>
      </c>
      <c r="T5" s="18">
        <v>1</v>
      </c>
      <c r="U5" s="19">
        <v>1</v>
      </c>
      <c r="V5" s="19">
        <v>1</v>
      </c>
      <c r="W5" s="19">
        <v>1</v>
      </c>
      <c r="X5" s="19">
        <v>1</v>
      </c>
      <c r="Y5" s="19">
        <v>1</v>
      </c>
      <c r="Z5" s="19">
        <v>1</v>
      </c>
      <c r="AA5" s="19">
        <v>1</v>
      </c>
      <c r="AB5" s="19"/>
      <c r="AC5" s="19"/>
      <c r="AD5" s="19"/>
      <c r="AE5" s="20"/>
      <c r="AF5" s="18"/>
      <c r="AG5" s="19"/>
      <c r="AH5" s="19"/>
      <c r="AI5" s="19"/>
      <c r="AJ5" s="19">
        <v>1</v>
      </c>
      <c r="AK5" s="19">
        <v>1</v>
      </c>
      <c r="AL5" s="19">
        <v>1</v>
      </c>
      <c r="AM5" s="19">
        <v>1</v>
      </c>
      <c r="AN5" s="19">
        <v>1</v>
      </c>
      <c r="AO5" s="19"/>
      <c r="AP5" s="19"/>
      <c r="AQ5" s="20"/>
      <c r="AR5" s="18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20"/>
      <c r="BE5" t="s">
        <v>28</v>
      </c>
      <c r="BF5" t="s">
        <v>53</v>
      </c>
      <c r="BG5" s="6">
        <v>62183.33</v>
      </c>
      <c r="BH5" s="7">
        <v>0</v>
      </c>
      <c r="BI5" s="8">
        <v>28800</v>
      </c>
      <c r="BJ5" s="6">
        <f t="shared" si="1"/>
        <v>3886.4581250000001</v>
      </c>
      <c r="BK5" s="7">
        <f t="shared" si="2"/>
        <v>0</v>
      </c>
      <c r="BL5" s="8">
        <f t="shared" si="3"/>
        <v>1800</v>
      </c>
    </row>
    <row r="6" spans="1:64">
      <c r="A6" t="s">
        <v>59</v>
      </c>
      <c r="B6" t="s">
        <v>9</v>
      </c>
      <c r="C6" t="s">
        <v>11</v>
      </c>
      <c r="D6" s="1">
        <v>1</v>
      </c>
      <c r="E6" t="s">
        <v>20</v>
      </c>
      <c r="F6" s="1">
        <f t="shared" si="0"/>
        <v>4</v>
      </c>
      <c r="H6" s="18"/>
      <c r="I6" s="19"/>
      <c r="J6" s="19"/>
      <c r="K6" s="19"/>
      <c r="L6" s="19"/>
      <c r="M6" s="19"/>
      <c r="N6" s="19"/>
      <c r="O6" s="19">
        <v>1</v>
      </c>
      <c r="P6" s="19">
        <v>1</v>
      </c>
      <c r="Q6" s="19"/>
      <c r="R6" s="19"/>
      <c r="S6" s="20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>
        <v>1</v>
      </c>
      <c r="AE6" s="20">
        <v>1</v>
      </c>
      <c r="AF6" s="18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  <c r="AR6" s="18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20"/>
      <c r="BE6" t="s">
        <v>29</v>
      </c>
      <c r="BF6" t="s">
        <v>53</v>
      </c>
      <c r="BG6" s="6">
        <v>13825</v>
      </c>
      <c r="BH6" s="7">
        <v>3792</v>
      </c>
      <c r="BI6" s="8">
        <v>7200</v>
      </c>
      <c r="BJ6" s="6">
        <f t="shared" si="1"/>
        <v>3456.25</v>
      </c>
      <c r="BK6" s="7">
        <f t="shared" si="2"/>
        <v>948</v>
      </c>
      <c r="BL6" s="8">
        <f t="shared" si="3"/>
        <v>1800</v>
      </c>
    </row>
    <row r="7" spans="1:64">
      <c r="A7" t="s">
        <v>59</v>
      </c>
      <c r="B7" t="s">
        <v>9</v>
      </c>
      <c r="C7" t="s">
        <v>12</v>
      </c>
      <c r="D7" s="1">
        <v>1</v>
      </c>
      <c r="E7" t="s">
        <v>21</v>
      </c>
      <c r="F7" s="1">
        <f t="shared" si="0"/>
        <v>6</v>
      </c>
      <c r="H7" s="18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1</v>
      </c>
      <c r="R7" s="19">
        <v>1</v>
      </c>
      <c r="S7" s="20"/>
      <c r="T7" s="18"/>
      <c r="U7" s="19"/>
      <c r="V7" s="19"/>
      <c r="W7" s="19"/>
      <c r="X7" s="19"/>
      <c r="Y7" s="19"/>
      <c r="Z7" s="19"/>
      <c r="AA7" s="19">
        <v>1</v>
      </c>
      <c r="AB7" s="19">
        <v>1</v>
      </c>
      <c r="AC7" s="19"/>
      <c r="AD7" s="19"/>
      <c r="AE7" s="20"/>
      <c r="AF7" s="18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20"/>
      <c r="AR7" s="18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20"/>
      <c r="BE7" t="s">
        <v>30</v>
      </c>
      <c r="BF7" t="s">
        <v>54</v>
      </c>
      <c r="BG7" s="6">
        <v>27729</v>
      </c>
      <c r="BH7" s="7">
        <v>0</v>
      </c>
      <c r="BI7" s="8">
        <v>10800</v>
      </c>
      <c r="BJ7" s="6">
        <f t="shared" si="1"/>
        <v>4621.5</v>
      </c>
      <c r="BK7" s="7">
        <f t="shared" si="2"/>
        <v>0</v>
      </c>
      <c r="BL7" s="8">
        <f t="shared" si="3"/>
        <v>1800</v>
      </c>
    </row>
    <row r="8" spans="1:64">
      <c r="A8" t="s">
        <v>59</v>
      </c>
      <c r="B8" t="s">
        <v>9</v>
      </c>
      <c r="C8" t="s">
        <v>12</v>
      </c>
      <c r="D8" s="1">
        <v>1</v>
      </c>
      <c r="E8" t="s">
        <v>22</v>
      </c>
      <c r="F8" s="1">
        <f t="shared" si="0"/>
        <v>2</v>
      </c>
      <c r="H8" s="18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20">
        <v>1</v>
      </c>
      <c r="T8" s="18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20"/>
      <c r="AR8" s="18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20"/>
      <c r="BE8" t="s">
        <v>31</v>
      </c>
      <c r="BF8" t="s">
        <v>54</v>
      </c>
      <c r="BG8" s="6">
        <v>9243</v>
      </c>
      <c r="BH8" s="7">
        <v>0</v>
      </c>
      <c r="BI8" s="8">
        <v>3600</v>
      </c>
      <c r="BJ8" s="6">
        <f t="shared" si="1"/>
        <v>4621.5</v>
      </c>
      <c r="BK8" s="7">
        <f t="shared" si="2"/>
        <v>0</v>
      </c>
      <c r="BL8" s="8">
        <f t="shared" si="3"/>
        <v>1800</v>
      </c>
    </row>
    <row r="9" spans="1:64">
      <c r="A9" t="s">
        <v>59</v>
      </c>
      <c r="B9" t="s">
        <v>11</v>
      </c>
      <c r="C9" t="s">
        <v>9</v>
      </c>
      <c r="D9" s="1">
        <v>1</v>
      </c>
      <c r="E9" t="s">
        <v>22</v>
      </c>
      <c r="F9" s="1">
        <f t="shared" si="0"/>
        <v>2</v>
      </c>
      <c r="H9" s="18"/>
      <c r="I9" s="19"/>
      <c r="J9" s="19"/>
      <c r="K9" s="19"/>
      <c r="L9" s="19">
        <v>1</v>
      </c>
      <c r="M9" s="19">
        <v>1</v>
      </c>
      <c r="N9" s="19"/>
      <c r="O9" s="19"/>
      <c r="P9" s="19"/>
      <c r="Q9" s="19"/>
      <c r="R9" s="19"/>
      <c r="S9" s="20"/>
      <c r="T9" s="18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8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20"/>
      <c r="AR9" s="18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20"/>
      <c r="BE9" t="s">
        <v>32</v>
      </c>
      <c r="BF9" t="s">
        <v>54</v>
      </c>
      <c r="BG9" s="6">
        <v>10393.5</v>
      </c>
      <c r="BH9" s="7">
        <v>1492.4</v>
      </c>
      <c r="BI9" s="8">
        <v>3600</v>
      </c>
      <c r="BJ9" s="6">
        <f t="shared" si="1"/>
        <v>5196.75</v>
      </c>
      <c r="BK9" s="7">
        <f t="shared" si="2"/>
        <v>746.2</v>
      </c>
      <c r="BL9" s="8">
        <f t="shared" si="3"/>
        <v>1800</v>
      </c>
    </row>
    <row r="10" spans="1:64">
      <c r="A10" t="s">
        <v>59</v>
      </c>
      <c r="B10" t="s">
        <v>12</v>
      </c>
      <c r="C10" t="s">
        <v>9</v>
      </c>
      <c r="D10" s="1">
        <v>1</v>
      </c>
      <c r="E10" t="s">
        <v>22</v>
      </c>
      <c r="F10" s="1">
        <f t="shared" si="0"/>
        <v>2</v>
      </c>
      <c r="H10" s="18"/>
      <c r="I10" s="19"/>
      <c r="J10" s="19"/>
      <c r="K10" s="19"/>
      <c r="L10" s="19"/>
      <c r="M10" s="19"/>
      <c r="N10" s="19"/>
      <c r="O10" s="19">
        <v>1</v>
      </c>
      <c r="P10" s="19">
        <v>1</v>
      </c>
      <c r="Q10" s="19"/>
      <c r="R10" s="19"/>
      <c r="S10" s="20"/>
      <c r="T10" s="1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18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20"/>
      <c r="AR10" s="18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20"/>
      <c r="BE10" t="s">
        <v>33</v>
      </c>
      <c r="BF10" t="s">
        <v>54</v>
      </c>
      <c r="BG10" s="6">
        <v>9243</v>
      </c>
      <c r="BH10" s="7">
        <v>0</v>
      </c>
      <c r="BI10" s="8">
        <v>3600</v>
      </c>
      <c r="BJ10" s="6">
        <f t="shared" si="1"/>
        <v>4621.5</v>
      </c>
      <c r="BK10" s="7">
        <f t="shared" si="2"/>
        <v>0</v>
      </c>
      <c r="BL10" s="8">
        <f t="shared" si="3"/>
        <v>1800</v>
      </c>
    </row>
    <row r="11" spans="1:64">
      <c r="A11" t="s">
        <v>59</v>
      </c>
      <c r="B11" t="s">
        <v>11</v>
      </c>
      <c r="C11" t="s">
        <v>9</v>
      </c>
      <c r="D11" s="1">
        <v>1</v>
      </c>
      <c r="E11" t="s">
        <v>22</v>
      </c>
      <c r="F11" s="1">
        <f t="shared" si="0"/>
        <v>6</v>
      </c>
      <c r="H11" s="18"/>
      <c r="I11" s="19"/>
      <c r="J11" s="19">
        <v>1</v>
      </c>
      <c r="K11" s="19">
        <v>1</v>
      </c>
      <c r="L11" s="19"/>
      <c r="M11" s="19"/>
      <c r="N11" s="19"/>
      <c r="O11" s="19"/>
      <c r="P11" s="19"/>
      <c r="Q11" s="19"/>
      <c r="R11" s="19"/>
      <c r="S11" s="20"/>
      <c r="T11" s="1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18"/>
      <c r="AG11" s="19">
        <v>1</v>
      </c>
      <c r="AH11" s="19">
        <v>1</v>
      </c>
      <c r="AI11" s="19"/>
      <c r="AJ11" s="19">
        <v>1</v>
      </c>
      <c r="AK11" s="19">
        <v>1</v>
      </c>
      <c r="AL11" s="19"/>
      <c r="AM11" s="19"/>
      <c r="AN11" s="19"/>
      <c r="AO11" s="19"/>
      <c r="AP11" s="19"/>
      <c r="AQ11" s="20"/>
      <c r="AR11" s="18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20"/>
      <c r="BE11" t="s">
        <v>34</v>
      </c>
      <c r="BF11" t="s">
        <v>54</v>
      </c>
      <c r="BG11" s="6">
        <v>31180.5</v>
      </c>
      <c r="BH11" s="7">
        <v>4477.2</v>
      </c>
      <c r="BI11" s="8">
        <v>10800</v>
      </c>
      <c r="BJ11" s="6">
        <f t="shared" si="1"/>
        <v>5196.75</v>
      </c>
      <c r="BK11" s="7">
        <f t="shared" si="2"/>
        <v>746.19999999999993</v>
      </c>
      <c r="BL11" s="8">
        <f t="shared" si="3"/>
        <v>1800</v>
      </c>
    </row>
    <row r="12" spans="1:64">
      <c r="A12" t="s">
        <v>59</v>
      </c>
      <c r="B12" t="s">
        <v>12</v>
      </c>
      <c r="C12" t="s">
        <v>9</v>
      </c>
      <c r="D12" s="1">
        <v>1</v>
      </c>
      <c r="E12" t="s">
        <v>22</v>
      </c>
      <c r="F12" s="1">
        <f t="shared" si="0"/>
        <v>2</v>
      </c>
      <c r="H12" s="1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18"/>
      <c r="U12" s="19"/>
      <c r="V12" s="19"/>
      <c r="W12" s="19"/>
      <c r="X12" s="19"/>
      <c r="Y12" s="19"/>
      <c r="Z12" s="19"/>
      <c r="AA12" s="19"/>
      <c r="AB12" s="19"/>
      <c r="AC12" s="19">
        <v>1</v>
      </c>
      <c r="AD12" s="19">
        <v>1</v>
      </c>
      <c r="AE12" s="20"/>
      <c r="AF12" s="18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/>
      <c r="AR12" s="18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20"/>
      <c r="BE12" t="s">
        <v>35</v>
      </c>
      <c r="BF12" t="s">
        <v>54</v>
      </c>
      <c r="BG12" s="6">
        <v>9243</v>
      </c>
      <c r="BH12" s="7">
        <v>0</v>
      </c>
      <c r="BI12" s="8">
        <v>3600</v>
      </c>
      <c r="BJ12" s="6">
        <f t="shared" si="1"/>
        <v>4621.5</v>
      </c>
      <c r="BK12" s="7">
        <f t="shared" si="2"/>
        <v>0</v>
      </c>
      <c r="BL12" s="8">
        <f t="shared" si="3"/>
        <v>1800</v>
      </c>
    </row>
    <row r="13" spans="1:64">
      <c r="A13" t="s">
        <v>59</v>
      </c>
      <c r="B13" t="s">
        <v>12</v>
      </c>
      <c r="C13" t="s">
        <v>9</v>
      </c>
      <c r="D13" s="1">
        <v>1</v>
      </c>
      <c r="E13" t="s">
        <v>22</v>
      </c>
      <c r="F13" s="1">
        <f t="shared" si="0"/>
        <v>2</v>
      </c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0"/>
      <c r="AF13" s="18"/>
      <c r="AG13" s="19"/>
      <c r="AH13" s="19"/>
      <c r="AI13" s="19"/>
      <c r="AJ13" s="19"/>
      <c r="AK13" s="19"/>
      <c r="AL13" s="19">
        <v>1</v>
      </c>
      <c r="AM13" s="19">
        <v>1</v>
      </c>
      <c r="AN13" s="19"/>
      <c r="AO13" s="19"/>
      <c r="AP13" s="19"/>
      <c r="AQ13" s="20"/>
      <c r="AR13" s="18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20"/>
      <c r="BE13" t="s">
        <v>36</v>
      </c>
      <c r="BF13" t="s">
        <v>54</v>
      </c>
      <c r="BG13" s="6">
        <v>9243</v>
      </c>
      <c r="BH13" s="7">
        <v>0</v>
      </c>
      <c r="BI13" s="8">
        <v>3600</v>
      </c>
      <c r="BJ13" s="6">
        <f t="shared" si="1"/>
        <v>4621.5</v>
      </c>
      <c r="BK13" s="7">
        <f t="shared" si="2"/>
        <v>0</v>
      </c>
      <c r="BL13" s="8">
        <f t="shared" si="3"/>
        <v>1800</v>
      </c>
    </row>
    <row r="14" spans="1:64">
      <c r="A14" t="s">
        <v>59</v>
      </c>
      <c r="B14" t="s">
        <v>11</v>
      </c>
      <c r="C14" t="s">
        <v>9</v>
      </c>
      <c r="D14" s="1">
        <v>1</v>
      </c>
      <c r="E14" t="s">
        <v>21</v>
      </c>
      <c r="F14" s="1">
        <f t="shared" si="0"/>
        <v>2</v>
      </c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18"/>
      <c r="U14" s="19">
        <v>1</v>
      </c>
      <c r="V14" s="19">
        <v>1</v>
      </c>
      <c r="W14" s="19"/>
      <c r="X14" s="19"/>
      <c r="Y14" s="19"/>
      <c r="Z14" s="19"/>
      <c r="AA14" s="19"/>
      <c r="AB14" s="19"/>
      <c r="AC14" s="19"/>
      <c r="AD14" s="19"/>
      <c r="AE14" s="20"/>
      <c r="AF14" s="18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20"/>
      <c r="AR14" s="18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20"/>
      <c r="BE14" t="s">
        <v>37</v>
      </c>
      <c r="BF14" t="s">
        <v>54</v>
      </c>
      <c r="BG14" s="6">
        <v>6751.33</v>
      </c>
      <c r="BH14" s="7">
        <v>1492.4</v>
      </c>
      <c r="BI14" s="8">
        <v>3600</v>
      </c>
      <c r="BJ14" s="6">
        <f t="shared" si="1"/>
        <v>3375.665</v>
      </c>
      <c r="BK14" s="7">
        <f t="shared" si="2"/>
        <v>746.2</v>
      </c>
      <c r="BL14" s="8">
        <f t="shared" si="3"/>
        <v>1800</v>
      </c>
    </row>
    <row r="15" spans="1:64">
      <c r="A15" t="s">
        <v>59</v>
      </c>
      <c r="B15" t="s">
        <v>13</v>
      </c>
      <c r="C15" t="s">
        <v>9</v>
      </c>
      <c r="D15" s="1">
        <v>3</v>
      </c>
      <c r="E15" t="s">
        <v>21</v>
      </c>
      <c r="F15" s="1">
        <f t="shared" si="0"/>
        <v>2</v>
      </c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18"/>
      <c r="U15" s="19"/>
      <c r="V15" s="19"/>
      <c r="W15" s="19"/>
      <c r="X15" s="19"/>
      <c r="Y15" s="19">
        <v>1</v>
      </c>
      <c r="Z15" s="19">
        <v>1</v>
      </c>
      <c r="AA15" s="19"/>
      <c r="AB15" s="19"/>
      <c r="AC15" s="19"/>
      <c r="AD15" s="19"/>
      <c r="AE15" s="20"/>
      <c r="AF15" s="18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0"/>
      <c r="AR15" s="18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20"/>
      <c r="BE15" t="s">
        <v>38</v>
      </c>
      <c r="BF15" t="s">
        <v>54</v>
      </c>
      <c r="BG15" s="6">
        <v>6960.33</v>
      </c>
      <c r="BH15" s="7">
        <v>1538.6</v>
      </c>
      <c r="BI15" s="8">
        <v>3600</v>
      </c>
      <c r="BJ15" s="6">
        <f t="shared" si="1"/>
        <v>3480.165</v>
      </c>
      <c r="BK15" s="7">
        <f t="shared" si="2"/>
        <v>769.3</v>
      </c>
      <c r="BL15" s="8">
        <f t="shared" si="3"/>
        <v>1800</v>
      </c>
    </row>
    <row r="16" spans="1:64">
      <c r="A16" t="s">
        <v>59</v>
      </c>
      <c r="B16" t="s">
        <v>12</v>
      </c>
      <c r="C16" t="s">
        <v>15</v>
      </c>
      <c r="D16" s="1" t="s">
        <v>17</v>
      </c>
      <c r="E16" t="s">
        <v>22</v>
      </c>
      <c r="F16" s="1">
        <f t="shared" si="0"/>
        <v>24</v>
      </c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18">
        <v>1</v>
      </c>
      <c r="U16" s="19">
        <v>1</v>
      </c>
      <c r="V16" s="19">
        <v>1</v>
      </c>
      <c r="W16" s="19">
        <v>1</v>
      </c>
      <c r="X16" s="19">
        <v>1</v>
      </c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9">
        <v>1</v>
      </c>
      <c r="AE16" s="20">
        <v>1</v>
      </c>
      <c r="AF16" s="18">
        <v>1</v>
      </c>
      <c r="AG16" s="19">
        <v>1</v>
      </c>
      <c r="AH16" s="19">
        <v>1</v>
      </c>
      <c r="AI16" s="19">
        <v>1</v>
      </c>
      <c r="AJ16" s="19">
        <v>1</v>
      </c>
      <c r="AK16" s="19">
        <v>1</v>
      </c>
      <c r="AL16" s="19">
        <v>1</v>
      </c>
      <c r="AM16" s="19">
        <v>1</v>
      </c>
      <c r="AN16" s="19">
        <v>1</v>
      </c>
      <c r="AO16" s="19">
        <v>1</v>
      </c>
      <c r="AP16" s="19">
        <v>1</v>
      </c>
      <c r="AQ16" s="20">
        <v>1</v>
      </c>
      <c r="AR16" s="18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20"/>
      <c r="BE16" t="s">
        <v>39</v>
      </c>
      <c r="BF16" t="s">
        <v>54</v>
      </c>
      <c r="BG16" s="6">
        <v>110916</v>
      </c>
      <c r="BH16" s="7">
        <v>21045.599999999999</v>
      </c>
      <c r="BI16" s="8">
        <v>43200</v>
      </c>
      <c r="BJ16" s="6">
        <f t="shared" si="1"/>
        <v>4621.5</v>
      </c>
      <c r="BK16" s="7">
        <f t="shared" si="2"/>
        <v>876.9</v>
      </c>
      <c r="BL16" s="8">
        <f t="shared" si="3"/>
        <v>1800</v>
      </c>
    </row>
    <row r="17" spans="1:64">
      <c r="A17" t="s">
        <v>59</v>
      </c>
      <c r="B17" t="s">
        <v>13</v>
      </c>
      <c r="C17" t="s">
        <v>15</v>
      </c>
      <c r="D17" s="1" t="s">
        <v>18</v>
      </c>
      <c r="E17" t="s">
        <v>22</v>
      </c>
      <c r="F17" s="1">
        <f t="shared" si="0"/>
        <v>12</v>
      </c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18"/>
      <c r="U17" s="19"/>
      <c r="V17" s="19"/>
      <c r="W17" s="19"/>
      <c r="X17" s="19"/>
      <c r="Y17" s="19"/>
      <c r="Z17" s="19"/>
      <c r="AA17" s="19">
        <v>1</v>
      </c>
      <c r="AB17" s="19">
        <v>1</v>
      </c>
      <c r="AC17" s="19">
        <v>1</v>
      </c>
      <c r="AD17" s="19">
        <v>1</v>
      </c>
      <c r="AE17" s="20">
        <v>1</v>
      </c>
      <c r="AF17" s="18">
        <v>1</v>
      </c>
      <c r="AG17" s="19">
        <v>1</v>
      </c>
      <c r="AH17" s="19">
        <v>1</v>
      </c>
      <c r="AI17" s="19">
        <v>1</v>
      </c>
      <c r="AJ17" s="19">
        <v>1</v>
      </c>
      <c r="AK17" s="19">
        <v>1</v>
      </c>
      <c r="AL17" s="19">
        <v>1</v>
      </c>
      <c r="AM17" s="19"/>
      <c r="AN17" s="19"/>
      <c r="AO17" s="19"/>
      <c r="AP17" s="19"/>
      <c r="AQ17" s="20"/>
      <c r="AR17" s="18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20"/>
      <c r="BE17" t="s">
        <v>40</v>
      </c>
      <c r="BF17" t="s">
        <v>54</v>
      </c>
      <c r="BG17" s="6">
        <v>64291.5</v>
      </c>
      <c r="BH17" s="7">
        <v>12198.9</v>
      </c>
      <c r="BI17" s="8">
        <v>21600</v>
      </c>
      <c r="BJ17" s="6">
        <f t="shared" si="1"/>
        <v>5357.625</v>
      </c>
      <c r="BK17" s="7">
        <f t="shared" si="2"/>
        <v>1016.5749999999999</v>
      </c>
      <c r="BL17" s="8">
        <f t="shared" si="3"/>
        <v>1800</v>
      </c>
    </row>
    <row r="18" spans="1:64">
      <c r="A18" t="s">
        <v>59</v>
      </c>
      <c r="B18" t="s">
        <v>10</v>
      </c>
      <c r="C18" t="s">
        <v>12</v>
      </c>
      <c r="D18" s="1">
        <v>2</v>
      </c>
      <c r="E18" t="s">
        <v>20</v>
      </c>
      <c r="F18" s="1">
        <f t="shared" si="0"/>
        <v>4</v>
      </c>
      <c r="H18" s="18"/>
      <c r="I18" s="19"/>
      <c r="J18" s="19"/>
      <c r="K18" s="19">
        <v>1</v>
      </c>
      <c r="L18" s="19">
        <v>1</v>
      </c>
      <c r="M18" s="19"/>
      <c r="N18" s="19"/>
      <c r="O18" s="19"/>
      <c r="P18" s="19"/>
      <c r="Q18" s="19"/>
      <c r="R18" s="19"/>
      <c r="S18" s="20"/>
      <c r="T18" s="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0"/>
      <c r="AF18" s="18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  <c r="AR18" s="18"/>
      <c r="AS18" s="19"/>
      <c r="AT18" s="19">
        <v>1</v>
      </c>
      <c r="AU18" s="19">
        <v>1</v>
      </c>
      <c r="AV18" s="19"/>
      <c r="AW18" s="19"/>
      <c r="AX18" s="19"/>
      <c r="AY18" s="19"/>
      <c r="AZ18" s="19"/>
      <c r="BA18" s="19"/>
      <c r="BB18" s="19"/>
      <c r="BC18" s="20"/>
      <c r="BE18" t="s">
        <v>41</v>
      </c>
      <c r="BF18" t="s">
        <v>53</v>
      </c>
      <c r="BG18" s="6">
        <v>15545.83</v>
      </c>
      <c r="BH18" s="7">
        <v>4264</v>
      </c>
      <c r="BI18" s="8">
        <v>7200</v>
      </c>
      <c r="BJ18" s="6">
        <f t="shared" si="1"/>
        <v>3886.4575</v>
      </c>
      <c r="BK18" s="7">
        <f t="shared" si="2"/>
        <v>1066</v>
      </c>
      <c r="BL18" s="8">
        <f t="shared" si="3"/>
        <v>1800</v>
      </c>
    </row>
    <row r="19" spans="1:64">
      <c r="A19" t="s">
        <v>59</v>
      </c>
      <c r="B19" t="s">
        <v>10</v>
      </c>
      <c r="C19" t="s">
        <v>12</v>
      </c>
      <c r="D19" s="1" t="s">
        <v>16</v>
      </c>
      <c r="E19" t="s">
        <v>20</v>
      </c>
      <c r="F19" s="1">
        <f t="shared" si="0"/>
        <v>4</v>
      </c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18"/>
      <c r="U19" s="19"/>
      <c r="V19" s="19">
        <v>1</v>
      </c>
      <c r="W19" s="19">
        <v>1</v>
      </c>
      <c r="X19" s="19"/>
      <c r="Y19" s="19"/>
      <c r="Z19" s="19"/>
      <c r="AA19" s="19"/>
      <c r="AB19" s="19"/>
      <c r="AC19" s="19"/>
      <c r="AD19" s="19"/>
      <c r="AE19" s="20"/>
      <c r="AF19" s="18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0"/>
      <c r="AR19" s="18"/>
      <c r="AS19" s="19"/>
      <c r="AT19" s="19"/>
      <c r="AU19" s="19"/>
      <c r="AV19" s="19">
        <v>1</v>
      </c>
      <c r="AW19" s="19">
        <v>1</v>
      </c>
      <c r="AX19" s="19"/>
      <c r="AY19" s="19"/>
      <c r="AZ19" s="19"/>
      <c r="BA19" s="19"/>
      <c r="BB19" s="19"/>
      <c r="BC19" s="20"/>
      <c r="BE19" t="s">
        <v>42</v>
      </c>
      <c r="BF19" t="s">
        <v>53</v>
      </c>
      <c r="BG19" s="6">
        <v>15545.83</v>
      </c>
      <c r="BH19" s="7">
        <v>4264</v>
      </c>
      <c r="BI19" s="8">
        <v>7200</v>
      </c>
      <c r="BJ19" s="6">
        <f t="shared" si="1"/>
        <v>3886.4575</v>
      </c>
      <c r="BK19" s="7">
        <f t="shared" si="2"/>
        <v>1066</v>
      </c>
      <c r="BL19" s="8">
        <f t="shared" si="3"/>
        <v>1800</v>
      </c>
    </row>
    <row r="20" spans="1:64">
      <c r="A20" t="s">
        <v>59</v>
      </c>
      <c r="B20" t="s">
        <v>10</v>
      </c>
      <c r="C20" t="s">
        <v>12</v>
      </c>
      <c r="D20" s="1" t="s">
        <v>16</v>
      </c>
      <c r="E20" t="s">
        <v>21</v>
      </c>
      <c r="F20" s="1">
        <f t="shared" si="0"/>
        <v>6</v>
      </c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T20" s="18"/>
      <c r="U20" s="19"/>
      <c r="V20" s="19">
        <v>1</v>
      </c>
      <c r="W20" s="19">
        <v>1</v>
      </c>
      <c r="X20" s="19">
        <v>1</v>
      </c>
      <c r="Y20" s="19"/>
      <c r="Z20" s="19"/>
      <c r="AA20" s="19"/>
      <c r="AB20" s="19"/>
      <c r="AC20" s="19"/>
      <c r="AD20" s="19"/>
      <c r="AE20" s="20"/>
      <c r="AF20" s="18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0"/>
      <c r="AR20" s="18"/>
      <c r="AS20" s="19">
        <v>1</v>
      </c>
      <c r="AT20" s="19">
        <v>1</v>
      </c>
      <c r="AU20" s="19">
        <v>1</v>
      </c>
      <c r="AV20" s="19"/>
      <c r="AW20" s="19"/>
      <c r="AX20" s="19"/>
      <c r="AY20" s="19"/>
      <c r="AZ20" s="19"/>
      <c r="BA20" s="19"/>
      <c r="BB20" s="19"/>
      <c r="BC20" s="20"/>
      <c r="BE20" t="s">
        <v>43</v>
      </c>
      <c r="BF20" t="s">
        <v>54</v>
      </c>
      <c r="BG20" s="6">
        <v>20254</v>
      </c>
      <c r="BH20" s="7">
        <v>4477.2</v>
      </c>
      <c r="BI20" s="8">
        <v>10800</v>
      </c>
      <c r="BJ20" s="6">
        <f t="shared" si="1"/>
        <v>3375.6666666666665</v>
      </c>
      <c r="BK20" s="7">
        <f t="shared" si="2"/>
        <v>746.19999999999993</v>
      </c>
      <c r="BL20" s="8">
        <f t="shared" si="3"/>
        <v>1800</v>
      </c>
    </row>
    <row r="21" spans="1:64">
      <c r="A21" t="s">
        <v>59</v>
      </c>
      <c r="B21" t="s">
        <v>10</v>
      </c>
      <c r="C21" t="s">
        <v>12</v>
      </c>
      <c r="D21" s="1">
        <v>2</v>
      </c>
      <c r="E21" t="s">
        <v>22</v>
      </c>
      <c r="F21" s="1">
        <f t="shared" si="0"/>
        <v>9</v>
      </c>
      <c r="H21" s="18"/>
      <c r="I21" s="19"/>
      <c r="J21" s="19">
        <v>1</v>
      </c>
      <c r="K21" s="19">
        <v>1</v>
      </c>
      <c r="L21" s="19">
        <v>1</v>
      </c>
      <c r="M21" s="19">
        <v>1</v>
      </c>
      <c r="N21" s="19"/>
      <c r="O21" s="19"/>
      <c r="P21" s="19"/>
      <c r="Q21" s="19"/>
      <c r="R21" s="19"/>
      <c r="S21" s="20"/>
      <c r="T21" s="18"/>
      <c r="U21" s="19"/>
      <c r="V21" s="19">
        <v>1</v>
      </c>
      <c r="W21" s="19">
        <v>1</v>
      </c>
      <c r="X21" s="19">
        <v>1</v>
      </c>
      <c r="Y21" s="19">
        <v>1</v>
      </c>
      <c r="Z21" s="19">
        <v>1</v>
      </c>
      <c r="AA21" s="19"/>
      <c r="AB21" s="19"/>
      <c r="AC21" s="19"/>
      <c r="AD21" s="19"/>
      <c r="AE21" s="20"/>
      <c r="AF21" s="18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20"/>
      <c r="AR21" s="18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20"/>
      <c r="BE21" t="s">
        <v>44</v>
      </c>
      <c r="BF21" t="s">
        <v>54</v>
      </c>
      <c r="BG21" s="9">
        <f>25983.75+20787</f>
        <v>46770.75</v>
      </c>
      <c r="BH21" s="10">
        <v>9594</v>
      </c>
      <c r="BI21" s="11">
        <v>16200</v>
      </c>
      <c r="BJ21" s="6">
        <f t="shared" si="1"/>
        <v>5196.75</v>
      </c>
      <c r="BK21" s="7">
        <f t="shared" si="2"/>
        <v>1066</v>
      </c>
      <c r="BL21" s="8">
        <f t="shared" si="3"/>
        <v>1800</v>
      </c>
    </row>
    <row r="22" spans="1:64">
      <c r="A22" t="s">
        <v>59</v>
      </c>
      <c r="B22" t="s">
        <v>10</v>
      </c>
      <c r="C22" t="s">
        <v>14</v>
      </c>
      <c r="D22" s="1">
        <v>2</v>
      </c>
      <c r="E22" t="s">
        <v>22</v>
      </c>
      <c r="F22" s="1">
        <f t="shared" si="0"/>
        <v>8</v>
      </c>
      <c r="H22" s="18"/>
      <c r="I22" s="19"/>
      <c r="J22" s="19"/>
      <c r="K22" s="19"/>
      <c r="L22" s="19"/>
      <c r="M22" s="19"/>
      <c r="N22" s="19">
        <v>1</v>
      </c>
      <c r="O22" s="19">
        <v>1</v>
      </c>
      <c r="P22" s="19"/>
      <c r="Q22" s="19"/>
      <c r="R22" s="19"/>
      <c r="S22" s="20">
        <v>1</v>
      </c>
      <c r="T22" s="18">
        <v>1</v>
      </c>
      <c r="U22" s="19"/>
      <c r="V22" s="19"/>
      <c r="W22" s="19"/>
      <c r="X22" s="19"/>
      <c r="Y22" s="19"/>
      <c r="Z22" s="19"/>
      <c r="AA22" s="19">
        <v>1</v>
      </c>
      <c r="AB22" s="19">
        <v>1</v>
      </c>
      <c r="AC22" s="19"/>
      <c r="AD22" s="19"/>
      <c r="AE22" s="20"/>
      <c r="AF22" s="18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>
        <v>1</v>
      </c>
      <c r="AR22" s="18">
        <v>1</v>
      </c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20"/>
      <c r="BE22" t="s">
        <v>45</v>
      </c>
      <c r="BF22" t="s">
        <v>53</v>
      </c>
      <c r="BG22" s="6">
        <v>20787</v>
      </c>
      <c r="BH22" s="7">
        <v>8528</v>
      </c>
      <c r="BI22" s="8">
        <v>14400</v>
      </c>
      <c r="BJ22" s="6">
        <f t="shared" si="1"/>
        <v>2598.375</v>
      </c>
      <c r="BK22" s="7">
        <f t="shared" si="2"/>
        <v>1066</v>
      </c>
      <c r="BL22" s="8">
        <f t="shared" si="3"/>
        <v>1800</v>
      </c>
    </row>
    <row r="23" spans="1:64">
      <c r="A23" t="s">
        <v>59</v>
      </c>
      <c r="B23" t="s">
        <v>13</v>
      </c>
      <c r="C23" t="s">
        <v>10</v>
      </c>
      <c r="D23" s="1">
        <v>3</v>
      </c>
      <c r="E23" t="s">
        <v>20</v>
      </c>
      <c r="F23" s="1">
        <f t="shared" si="0"/>
        <v>6</v>
      </c>
      <c r="H23" s="1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18"/>
      <c r="U23" s="19"/>
      <c r="V23" s="19"/>
      <c r="W23" s="19"/>
      <c r="X23" s="19"/>
      <c r="Y23" s="19">
        <v>1</v>
      </c>
      <c r="Z23" s="19">
        <v>1</v>
      </c>
      <c r="AA23" s="19"/>
      <c r="AB23" s="19"/>
      <c r="AC23" s="19"/>
      <c r="AD23" s="19"/>
      <c r="AE23" s="20"/>
      <c r="AF23" s="18"/>
      <c r="AG23" s="19"/>
      <c r="AH23" s="19"/>
      <c r="AI23" s="19"/>
      <c r="AJ23" s="19"/>
      <c r="AK23" s="19"/>
      <c r="AL23" s="19"/>
      <c r="AM23" s="19"/>
      <c r="AN23" s="19">
        <v>1</v>
      </c>
      <c r="AO23" s="19">
        <v>1</v>
      </c>
      <c r="AP23" s="19"/>
      <c r="AQ23" s="20"/>
      <c r="AR23" s="18"/>
      <c r="AS23" s="19"/>
      <c r="AT23" s="19"/>
      <c r="AU23" s="19"/>
      <c r="AV23" s="19"/>
      <c r="AW23" s="19"/>
      <c r="AX23" s="19">
        <v>1</v>
      </c>
      <c r="AY23" s="19">
        <v>1</v>
      </c>
      <c r="AZ23" s="19"/>
      <c r="BA23" s="19"/>
      <c r="BB23" s="19"/>
      <c r="BC23" s="20"/>
      <c r="BE23" t="s">
        <v>46</v>
      </c>
      <c r="BF23" t="s">
        <v>53</v>
      </c>
      <c r="BG23" s="6">
        <v>24040.63</v>
      </c>
      <c r="BH23" s="7">
        <v>6594</v>
      </c>
      <c r="BI23" s="8">
        <v>10800</v>
      </c>
      <c r="BJ23" s="6">
        <f t="shared" si="1"/>
        <v>4006.771666666667</v>
      </c>
      <c r="BK23" s="7">
        <f t="shared" si="2"/>
        <v>1099</v>
      </c>
      <c r="BL23" s="8">
        <f t="shared" si="3"/>
        <v>1800</v>
      </c>
    </row>
    <row r="24" spans="1:64">
      <c r="A24" t="s">
        <v>59</v>
      </c>
      <c r="B24" t="s">
        <v>11</v>
      </c>
      <c r="C24" t="s">
        <v>15</v>
      </c>
      <c r="D24" s="1">
        <v>4</v>
      </c>
      <c r="E24" t="s">
        <v>22</v>
      </c>
      <c r="F24" s="1">
        <f t="shared" si="0"/>
        <v>20</v>
      </c>
      <c r="H24" s="18"/>
      <c r="I24" s="19"/>
      <c r="J24" s="19"/>
      <c r="K24" s="19"/>
      <c r="L24" s="19"/>
      <c r="M24" s="19"/>
      <c r="N24" s="19"/>
      <c r="O24" s="19"/>
      <c r="P24" s="19"/>
      <c r="Q24" s="19">
        <v>1</v>
      </c>
      <c r="R24" s="19">
        <v>1</v>
      </c>
      <c r="S24" s="20">
        <v>1</v>
      </c>
      <c r="T24" s="18">
        <v>1</v>
      </c>
      <c r="U24" s="19">
        <v>1</v>
      </c>
      <c r="V24" s="19">
        <v>1</v>
      </c>
      <c r="W24" s="19">
        <v>1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1</v>
      </c>
      <c r="AD24" s="19">
        <v>1</v>
      </c>
      <c r="AE24" s="20">
        <v>1</v>
      </c>
      <c r="AF24" s="18">
        <v>1</v>
      </c>
      <c r="AG24" s="19">
        <v>1</v>
      </c>
      <c r="AH24" s="19">
        <v>1</v>
      </c>
      <c r="AI24" s="19">
        <v>1</v>
      </c>
      <c r="AJ24" s="19">
        <v>1</v>
      </c>
      <c r="AK24" s="19"/>
      <c r="AL24" s="19"/>
      <c r="AM24" s="19"/>
      <c r="AN24" s="19"/>
      <c r="AO24" s="19"/>
      <c r="AP24" s="19"/>
      <c r="AQ24" s="20"/>
      <c r="AR24" s="18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20"/>
      <c r="BE24" t="s">
        <v>47</v>
      </c>
      <c r="BF24" t="s">
        <v>54</v>
      </c>
      <c r="BG24" s="6">
        <v>103935</v>
      </c>
      <c r="BH24" s="7">
        <v>19721</v>
      </c>
      <c r="BI24" s="8">
        <v>36000</v>
      </c>
      <c r="BJ24" s="6">
        <f t="shared" si="1"/>
        <v>5196.75</v>
      </c>
      <c r="BK24" s="7">
        <f t="shared" si="2"/>
        <v>986.05</v>
      </c>
      <c r="BL24" s="8">
        <f t="shared" si="3"/>
        <v>1800</v>
      </c>
    </row>
    <row r="25" spans="1:64">
      <c r="A25" t="s">
        <v>59</v>
      </c>
      <c r="B25" t="s">
        <v>11</v>
      </c>
      <c r="C25" t="s">
        <v>15</v>
      </c>
      <c r="D25" s="1">
        <v>5</v>
      </c>
      <c r="E25" t="s">
        <v>22</v>
      </c>
      <c r="F25" s="1">
        <f t="shared" si="0"/>
        <v>18</v>
      </c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1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0"/>
      <c r="AF25" s="18"/>
      <c r="AG25" s="19">
        <v>1</v>
      </c>
      <c r="AH25" s="19">
        <v>1</v>
      </c>
      <c r="AI25" s="19">
        <v>1</v>
      </c>
      <c r="AJ25" s="19">
        <v>1</v>
      </c>
      <c r="AK25" s="19">
        <v>1</v>
      </c>
      <c r="AL25" s="19">
        <v>1</v>
      </c>
      <c r="AM25" s="19">
        <v>1</v>
      </c>
      <c r="AN25" s="19">
        <v>1</v>
      </c>
      <c r="AO25" s="19">
        <v>1</v>
      </c>
      <c r="AP25" s="19">
        <v>1</v>
      </c>
      <c r="AQ25" s="20">
        <v>1</v>
      </c>
      <c r="AR25" s="18">
        <v>1</v>
      </c>
      <c r="AS25" s="19">
        <v>1</v>
      </c>
      <c r="AT25" s="19">
        <v>1</v>
      </c>
      <c r="AU25" s="19">
        <v>1</v>
      </c>
      <c r="AV25" s="19">
        <v>1</v>
      </c>
      <c r="AW25" s="19">
        <v>1</v>
      </c>
      <c r="AX25" s="19">
        <v>1</v>
      </c>
      <c r="AY25" s="19"/>
      <c r="AZ25" s="19"/>
      <c r="BA25" s="19"/>
      <c r="BB25" s="19"/>
      <c r="BC25" s="20"/>
      <c r="BE25" t="s">
        <v>48</v>
      </c>
      <c r="BF25" t="s">
        <v>54</v>
      </c>
      <c r="BG25" s="6">
        <v>93541.5</v>
      </c>
      <c r="BH25" s="7">
        <v>17748.900000000001</v>
      </c>
      <c r="BI25" s="8">
        <v>32400</v>
      </c>
      <c r="BJ25" s="6">
        <f t="shared" si="1"/>
        <v>5196.75</v>
      </c>
      <c r="BK25" s="7">
        <f t="shared" si="2"/>
        <v>986.05000000000007</v>
      </c>
      <c r="BL25" s="8">
        <f t="shared" si="3"/>
        <v>1800</v>
      </c>
    </row>
    <row r="26" spans="1:64">
      <c r="A26" t="s">
        <v>59</v>
      </c>
      <c r="B26" t="s">
        <v>10</v>
      </c>
      <c r="C26" t="s">
        <v>14</v>
      </c>
      <c r="D26" s="1">
        <v>6</v>
      </c>
      <c r="E26" t="s">
        <v>20</v>
      </c>
      <c r="F26" s="1">
        <f t="shared" si="0"/>
        <v>4</v>
      </c>
      <c r="H26" s="18"/>
      <c r="I26" s="19"/>
      <c r="J26" s="19"/>
      <c r="K26" s="19"/>
      <c r="L26" s="19"/>
      <c r="M26" s="19"/>
      <c r="N26" s="19">
        <v>1</v>
      </c>
      <c r="O26" s="19">
        <v>1</v>
      </c>
      <c r="P26" s="19"/>
      <c r="Q26" s="19"/>
      <c r="R26" s="19"/>
      <c r="S26" s="20"/>
      <c r="T26" s="18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0"/>
      <c r="AF26" s="18"/>
      <c r="AG26" s="19"/>
      <c r="AH26" s="19"/>
      <c r="AI26" s="19"/>
      <c r="AJ26" s="19"/>
      <c r="AK26" s="19"/>
      <c r="AL26" s="19">
        <v>1</v>
      </c>
      <c r="AM26" s="19">
        <v>1</v>
      </c>
      <c r="AN26" s="19"/>
      <c r="AO26" s="19"/>
      <c r="AP26" s="19"/>
      <c r="AQ26" s="20"/>
      <c r="AR26" s="18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20"/>
      <c r="BE26" t="s">
        <v>49</v>
      </c>
      <c r="BF26" t="s">
        <v>53</v>
      </c>
      <c r="BG26" s="6">
        <v>15545.83</v>
      </c>
      <c r="BH26" s="7">
        <v>4264</v>
      </c>
      <c r="BI26" s="8">
        <v>7200</v>
      </c>
      <c r="BJ26" s="6">
        <f t="shared" si="1"/>
        <v>3886.4575</v>
      </c>
      <c r="BK26" s="7">
        <f t="shared" si="2"/>
        <v>1066</v>
      </c>
      <c r="BL26" s="8">
        <f t="shared" si="3"/>
        <v>1800</v>
      </c>
    </row>
    <row r="27" spans="1:64">
      <c r="B27" t="s">
        <v>14</v>
      </c>
      <c r="C27" t="s">
        <v>15</v>
      </c>
      <c r="D27" s="1" t="s">
        <v>19</v>
      </c>
      <c r="E27" t="s">
        <v>20</v>
      </c>
      <c r="F27" s="1">
        <f t="shared" si="0"/>
        <v>12</v>
      </c>
      <c r="H27" s="21"/>
      <c r="I27" s="22"/>
      <c r="J27" s="22"/>
      <c r="K27" s="22"/>
      <c r="L27" s="22"/>
      <c r="M27" s="22">
        <v>1</v>
      </c>
      <c r="N27" s="22">
        <v>1</v>
      </c>
      <c r="O27" s="22">
        <v>1</v>
      </c>
      <c r="P27" s="22">
        <v>1</v>
      </c>
      <c r="Q27" s="22">
        <v>1</v>
      </c>
      <c r="R27" s="22">
        <v>1</v>
      </c>
      <c r="S27" s="23">
        <v>1</v>
      </c>
      <c r="T27" s="21">
        <v>1</v>
      </c>
      <c r="U27" s="22">
        <v>1</v>
      </c>
      <c r="V27" s="22">
        <v>1</v>
      </c>
      <c r="W27" s="22">
        <v>1</v>
      </c>
      <c r="X27" s="22">
        <v>1</v>
      </c>
      <c r="Y27" s="22"/>
      <c r="Z27" s="22"/>
      <c r="AA27" s="22"/>
      <c r="AB27" s="22"/>
      <c r="AC27" s="22"/>
      <c r="AD27" s="22"/>
      <c r="AE27" s="23"/>
      <c r="AF27" s="21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3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3"/>
      <c r="BE27" t="s">
        <v>50</v>
      </c>
      <c r="BF27" t="s">
        <v>54</v>
      </c>
      <c r="BG27" s="12">
        <v>101587.5</v>
      </c>
      <c r="BH27" s="13">
        <v>13932</v>
      </c>
      <c r="BI27" s="14">
        <v>21600</v>
      </c>
      <c r="BJ27" s="12">
        <f t="shared" si="1"/>
        <v>8465.625</v>
      </c>
      <c r="BK27" s="13">
        <f t="shared" si="2"/>
        <v>1161</v>
      </c>
      <c r="BL27" s="14">
        <f t="shared" si="3"/>
        <v>1800</v>
      </c>
    </row>
  </sheetData>
  <mergeCells count="6">
    <mergeCell ref="BJ2:BL2"/>
    <mergeCell ref="H1:S1"/>
    <mergeCell ref="T1:AE1"/>
    <mergeCell ref="AF1:AQ1"/>
    <mergeCell ref="AR1:BC1"/>
    <mergeCell ref="BG2:BI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W63"/>
  <sheetViews>
    <sheetView topLeftCell="D1" workbookViewId="0">
      <selection activeCell="K3" sqref="K3"/>
    </sheetView>
  </sheetViews>
  <sheetFormatPr defaultRowHeight="15"/>
  <cols>
    <col min="3" max="4" width="13.140625" bestFit="1" customWidth="1"/>
    <col min="5" max="5" width="12.7109375" bestFit="1" customWidth="1"/>
    <col min="6" max="6" width="17.42578125" bestFit="1" customWidth="1"/>
    <col min="7" max="7" width="14.85546875" bestFit="1" customWidth="1"/>
    <col min="8" max="8" width="9.85546875" bestFit="1" customWidth="1"/>
    <col min="9" max="9" width="14.7109375" bestFit="1" customWidth="1"/>
    <col min="10" max="10" width="12" customWidth="1"/>
    <col min="11" max="11" width="10" bestFit="1" customWidth="1"/>
    <col min="12" max="12" width="18.5703125" bestFit="1" customWidth="1"/>
    <col min="13" max="13" width="9.42578125" bestFit="1" customWidth="1"/>
    <col min="14" max="14" width="14.7109375" bestFit="1" customWidth="1"/>
    <col min="15" max="15" width="14.7109375" customWidth="1"/>
    <col min="16" max="16" width="18.28515625" bestFit="1" customWidth="1"/>
    <col min="17" max="17" width="28.140625" bestFit="1" customWidth="1"/>
    <col min="18" max="18" width="28.140625" customWidth="1"/>
    <col min="19" max="19" width="13.140625" bestFit="1" customWidth="1"/>
    <col min="21" max="21" width="12.140625" bestFit="1" customWidth="1"/>
    <col min="22" max="22" width="13.140625" bestFit="1" customWidth="1"/>
  </cols>
  <sheetData>
    <row r="1" spans="2:23">
      <c r="J1" t="s">
        <v>65</v>
      </c>
      <c r="K1">
        <v>0.12330000000000001</v>
      </c>
      <c r="M1" t="s">
        <v>67</v>
      </c>
      <c r="N1" s="34">
        <v>956809.14</v>
      </c>
    </row>
    <row r="2" spans="2:23">
      <c r="B2" s="2" t="s">
        <v>11</v>
      </c>
      <c r="J2" s="2" t="s">
        <v>62</v>
      </c>
      <c r="K2" s="38">
        <v>1.8426996</v>
      </c>
      <c r="M2" t="s">
        <v>68</v>
      </c>
      <c r="N2" s="39">
        <f>N1-N59</f>
        <v>9.3316667480394244E-3</v>
      </c>
    </row>
    <row r="4" spans="2:23">
      <c r="C4" s="2" t="s">
        <v>23</v>
      </c>
      <c r="D4" s="2" t="s">
        <v>24</v>
      </c>
      <c r="E4" s="2" t="s">
        <v>25</v>
      </c>
      <c r="F4" s="2" t="s">
        <v>56</v>
      </c>
      <c r="G4" s="2" t="s">
        <v>57</v>
      </c>
      <c r="H4" s="2" t="s">
        <v>60</v>
      </c>
      <c r="I4" s="2" t="s">
        <v>58</v>
      </c>
      <c r="J4" s="2"/>
      <c r="K4" s="2"/>
      <c r="L4" s="2" t="s">
        <v>66</v>
      </c>
      <c r="M4" s="2"/>
      <c r="N4" s="2" t="s">
        <v>61</v>
      </c>
      <c r="O4" s="2" t="s">
        <v>63</v>
      </c>
      <c r="P4" s="2" t="s">
        <v>69</v>
      </c>
      <c r="Q4" s="2" t="s">
        <v>76</v>
      </c>
      <c r="R4" s="2" t="s">
        <v>71</v>
      </c>
      <c r="S4" s="2" t="s">
        <v>64</v>
      </c>
      <c r="U4" s="2" t="s">
        <v>74</v>
      </c>
      <c r="V4" s="2" t="s">
        <v>75</v>
      </c>
      <c r="W4" s="2" t="s">
        <v>77</v>
      </c>
    </row>
    <row r="5" spans="2:23">
      <c r="B5" t="s">
        <v>5</v>
      </c>
      <c r="C5" s="5">
        <f>SUM(Foglio1!$H9:$S9)*Foglio1!BJ9+SUM(Foglio1!$H11:$S11)*Foglio1!BJ11+SUM(Foglio1!$H14:$S14)*Foglio1!BJ14+SUM(Foglio1!$H24:$S24)*Foglio1!BJ24+SUM(Foglio1!$H25:$S25)*Foglio1!BJ25</f>
        <v>36377.25</v>
      </c>
      <c r="D5" s="5">
        <f>SUM(Foglio1!$H9:$S9)*Foglio1!BK9+SUM(Foglio1!$H11:$S11)*Foglio1!BK11+SUM(Foglio1!$H14:$S14)*Foglio1!BK14+SUM(Foglio1!$H24:$S24)*Foglio1!BK24+SUM(Foglio1!$H25:$S25)*Foglio1!BK25</f>
        <v>5942.95</v>
      </c>
      <c r="E5" s="5">
        <f>SUM(Foglio1!$H9:$S9)*Foglio1!BL9+SUM(Foglio1!$H11:$S11)*Foglio1!BL11+SUM(Foglio1!$H14:$S14)*Foglio1!BL14+SUM(Foglio1!$H24:$S24)*Foglio1!BL24+SUM(Foglio1!$H25:$S25)*Foglio1!BL25</f>
        <v>12600</v>
      </c>
      <c r="F5" s="5">
        <f>(C5+D5+E5)*$K$1</f>
        <v>6771.6606600000005</v>
      </c>
      <c r="G5" s="5">
        <f>0.1*(C5+D5+E5+F5)</f>
        <v>6169.1860660000002</v>
      </c>
      <c r="H5" s="5">
        <v>0</v>
      </c>
      <c r="I5" s="5">
        <f>SUM(C5:H5)</f>
        <v>67861.046726</v>
      </c>
      <c r="J5" s="5"/>
      <c r="K5" s="38"/>
      <c r="L5" s="5">
        <f>C5+D5+$K$2*E5</f>
        <v>65538.214959999998</v>
      </c>
      <c r="N5" s="5">
        <f>L5+L6</f>
        <v>194411.57488</v>
      </c>
      <c r="O5" s="5">
        <f>L5+L6</f>
        <v>194411.57488</v>
      </c>
      <c r="P5" s="5">
        <f>I5+I6</f>
        <v>200860.96079390001</v>
      </c>
      <c r="Q5" s="40">
        <f>(N5+O5)/I9</f>
        <v>0.83438846881250539</v>
      </c>
      <c r="R5" s="34">
        <f>P5</f>
        <v>200860.96079390001</v>
      </c>
      <c r="S5" s="5">
        <f>L7+L8</f>
        <v>255531.40056000001</v>
      </c>
      <c r="U5" s="5">
        <f>N5-O5</f>
        <v>0</v>
      </c>
      <c r="V5" s="5">
        <f>R5-S5</f>
        <v>-54670.439766099997</v>
      </c>
      <c r="W5" s="40">
        <f>V5/I9</f>
        <v>-0.11731910652413331</v>
      </c>
    </row>
    <row r="6" spans="2:23">
      <c r="B6" t="s">
        <v>6</v>
      </c>
      <c r="C6" s="5">
        <f>SUM(Foglio1!$T9:$AE9)*Foglio1!BJ9+SUM(Foglio1!$T11:$AE11)*Foglio1!BJ11+SUM(Foglio1!$T14:$AE14)*Foglio1!BJ14+SUM(Foglio1!$T24:$AE24)*Foglio1!BJ24+SUM(Foglio1!$T25:$AE25)*Foglio1!BJ25</f>
        <v>69112.33</v>
      </c>
      <c r="D6" s="5">
        <f>SUM(Foglio1!$T9:$AE9)*Foglio1!BK9+SUM(Foglio1!$T11:$AE11)*Foglio1!BK11+SUM(Foglio1!$T14:$AE14)*Foglio1!BK14+SUM(Foglio1!$T24:$AE24)*Foglio1!BK24+SUM(Foglio1!$T25:$AE25)*Foglio1!BK25</f>
        <v>13324.999999999998</v>
      </c>
      <c r="E6" s="5">
        <f>SUM(Foglio1!$T9:$AE9)*Foglio1!BL9+SUM(Foglio1!$T11:$AE11)*Foglio1!BL11+SUM(Foglio1!$T14:$AE14)*Foglio1!BL14+SUM(Foglio1!$T24:$AE24)*Foglio1!BL24+SUM(Foglio1!$T25:$AE25)*Foglio1!BL25</f>
        <v>25200</v>
      </c>
      <c r="F6" s="5">
        <f>(C6+D6+E6)*$K$1</f>
        <v>13271.682789</v>
      </c>
      <c r="G6" s="5">
        <f>0.1*(C6+D6+E6+F6)</f>
        <v>12090.901278900001</v>
      </c>
      <c r="H6" s="5">
        <v>0</v>
      </c>
      <c r="I6" s="5">
        <f>SUM(C6:H6)</f>
        <v>132999.91406790001</v>
      </c>
      <c r="J6" s="5"/>
      <c r="K6" s="38"/>
      <c r="L6" s="5">
        <f>C6+D6+$K$2*E6</f>
        <v>128873.35992</v>
      </c>
    </row>
    <row r="7" spans="2:23">
      <c r="B7" t="s">
        <v>7</v>
      </c>
      <c r="C7" s="5">
        <f>SUM(Foglio1!$AF9:$AQ9)*Foglio1!BJ9+SUM(Foglio1!$AF11:$AQ11)*Foglio1!BJ11+SUM(Foglio1!$AF14:$AQ14)*Foglio1!BJ14+SUM(Foglio1!$AF24:$AQ24)*Foglio1!BJ24+SUM(Foglio1!$AF25:$AQ25)*Foglio1!BJ25</f>
        <v>103935</v>
      </c>
      <c r="D7" s="5">
        <f>SUM(Foglio1!$AF9:$AQ9)*Foglio1!BK9+SUM(Foglio1!$AF11:$AQ11)*Foglio1!BK11+SUM(Foglio1!$AF14:$AQ14)*Foglio1!BK14+SUM(Foglio1!$AF24:$AQ24)*Foglio1!BK24+SUM(Foglio1!$AF25:$AQ25)*Foglio1!BK25</f>
        <v>18761.599999999999</v>
      </c>
      <c r="E7" s="5">
        <f>SUM(Foglio1!$AF9:$AQ9)*Foglio1!BL9+SUM(Foglio1!$AF11:$AQ11)*Foglio1!BL11+SUM(Foglio1!$AF14:$AQ14)*Foglio1!BL14+SUM(Foglio1!$AF24:$AQ24)*Foglio1!BL24+SUM(Foglio1!$AF25:$AQ25)*Foglio1!BL25</f>
        <v>36000</v>
      </c>
      <c r="F7" s="5">
        <f>(C7+D7+E7)*$K$1</f>
        <v>19567.290780000003</v>
      </c>
      <c r="G7" s="5">
        <f>0.1*(C7+D7+E7+F7)</f>
        <v>17826.389078000004</v>
      </c>
      <c r="H7" s="5">
        <v>0</v>
      </c>
      <c r="I7" s="5">
        <f>SUM(C7:H7)</f>
        <v>196090.27985800002</v>
      </c>
      <c r="J7" s="5"/>
      <c r="K7" s="38"/>
      <c r="L7" s="5">
        <f>C7+D7+$K$2*E7</f>
        <v>189033.7856</v>
      </c>
    </row>
    <row r="8" spans="2:23">
      <c r="B8" t="s">
        <v>8</v>
      </c>
      <c r="C8" s="5">
        <f>SUM(Foglio1!$AR9:$BC9)*Foglio1!BJ9+SUM(Foglio1!$AR11:$BC11)*Foglio1!BJ11+SUM(Foglio1!$AR14:$BC14)*Foglio1!BJ14+SUM(Foglio1!$AR24:$BC24)*Foglio1!BJ24+SUM(Foglio1!$AR25:$BC25)*Foglio1!BJ25</f>
        <v>36377.25</v>
      </c>
      <c r="D8" s="5">
        <f>SUM(Foglio1!$AR9:$BC9)*Foglio1!BK9+SUM(Foglio1!$AR11:$BC11)*Foglio1!BK11+SUM(Foglio1!$AR14:$BC14)*Foglio1!BK14+SUM(Foglio1!$AR24:$BC24)*Foglio1!BK24+SUM(Foglio1!$AR25:$BC25)*Foglio1!BK25</f>
        <v>6902.35</v>
      </c>
      <c r="E8" s="5">
        <f>SUM(Foglio1!$AR9:$BC9)*Foglio1!BL9+SUM(Foglio1!$AR11:$BC11)*Foglio1!BL11+SUM(Foglio1!$AR14:$BC14)*Foglio1!BL14+SUM(Foglio1!$AR24:$BC24)*Foglio1!BL24+SUM(Foglio1!$AR25:$BC25)*Foglio1!BL25</f>
        <v>12600</v>
      </c>
      <c r="F8" s="5">
        <f>(C8+D8+E8)*$K$1</f>
        <v>6889.9546799999998</v>
      </c>
      <c r="G8" s="5">
        <f>0.1*(C8+D8+E8+F8)</f>
        <v>6276.9554680000001</v>
      </c>
      <c r="H8" s="5">
        <v>0</v>
      </c>
      <c r="I8" s="5">
        <f>SUM(C8:H8)</f>
        <v>69046.510148000001</v>
      </c>
      <c r="J8" s="5"/>
      <c r="K8" s="38"/>
      <c r="L8" s="5">
        <f>C8+D8+$K$2*E8</f>
        <v>66497.614960000006</v>
      </c>
    </row>
    <row r="9" spans="2:23">
      <c r="C9" s="33">
        <f t="shared" ref="C9:H9" si="0">SUM(C5:C8)</f>
        <v>245801.83000000002</v>
      </c>
      <c r="D9" s="33">
        <f t="shared" si="0"/>
        <v>44931.899999999994</v>
      </c>
      <c r="E9" s="33">
        <f t="shared" si="0"/>
        <v>86400</v>
      </c>
      <c r="F9" s="33">
        <f t="shared" si="0"/>
        <v>46500.588909000006</v>
      </c>
      <c r="G9" s="33">
        <f t="shared" si="0"/>
        <v>42363.431890899999</v>
      </c>
      <c r="H9" s="33">
        <f t="shared" si="0"/>
        <v>0</v>
      </c>
      <c r="I9" s="33">
        <f>SUM(C9:H9)</f>
        <v>465997.75079989998</v>
      </c>
      <c r="J9" s="33"/>
    </row>
    <row r="11" spans="2:23">
      <c r="B11" s="2" t="s">
        <v>10</v>
      </c>
      <c r="F11" s="5"/>
    </row>
    <row r="13" spans="2:23">
      <c r="C13" s="2" t="s">
        <v>23</v>
      </c>
      <c r="D13" s="2" t="s">
        <v>24</v>
      </c>
      <c r="E13" s="2" t="s">
        <v>25</v>
      </c>
      <c r="F13" s="2" t="s">
        <v>56</v>
      </c>
      <c r="G13" s="2" t="s">
        <v>57</v>
      </c>
      <c r="H13" s="2" t="s">
        <v>60</v>
      </c>
      <c r="I13" s="2" t="s">
        <v>58</v>
      </c>
      <c r="J13" s="2"/>
      <c r="L13" s="2" t="s">
        <v>66</v>
      </c>
      <c r="N13" s="2" t="s">
        <v>61</v>
      </c>
      <c r="O13" s="2" t="s">
        <v>63</v>
      </c>
      <c r="P13" s="2" t="s">
        <v>69</v>
      </c>
      <c r="Q13" s="2" t="s">
        <v>70</v>
      </c>
      <c r="R13" s="2" t="s">
        <v>71</v>
      </c>
      <c r="S13" s="2" t="s">
        <v>64</v>
      </c>
      <c r="U13" s="2" t="s">
        <v>74</v>
      </c>
      <c r="V13" s="2" t="s">
        <v>75</v>
      </c>
      <c r="W13" s="2" t="s">
        <v>77</v>
      </c>
    </row>
    <row r="14" spans="2:23">
      <c r="B14" t="s">
        <v>5</v>
      </c>
      <c r="C14" s="36">
        <f>SUM(Foglio1!$H5:$S5)*Foglio1!BJ5+SUM(Foglio1!$H18:$S18)*Foglio1!BJ18+SUM(Foglio1!$H19:$S19)*Foglio1!BJ19+SUM(Foglio1!$H20:$S20)*Foglio1!BJ20+SUM(Foglio1!$H21:$S21)*Foglio1!BJ21+SUM(Foglio1!$H22:$S22)*Foglio1!BJ22+SUM(Foglio1!$H26:$S26)*Foglio1!BJ26</f>
        <v>55787.329375000001</v>
      </c>
      <c r="D14" s="36">
        <f>SUM(Foglio1!$H5:$S5)*Foglio1!BK5+SUM(Foglio1!$H18:$S18)*Foglio1!BK18+SUM(Foglio1!$H19:$S19)*Foglio1!BK19+SUM(Foglio1!$H20:$S20)*Foglio1!BK20+SUM(Foglio1!$H21:$S21)*Foglio1!BK21+SUM(Foglio1!$H22:$S22)*Foglio1!BK22+SUM(Foglio1!$H26:$S26)*Foglio1!BK26</f>
        <v>11726</v>
      </c>
      <c r="E14" s="36">
        <f>SUM(Foglio1!$H5:$S5)*Foglio1!BL5+SUM(Foglio1!$H18:$S18)*Foglio1!BL18+SUM(Foglio1!$H19:$S19)*Foglio1!BL19+SUM(Foglio1!$H20:$S20)*Foglio1!BL20+SUM(Foglio1!$H21:$S21)*Foglio1!BL21+SUM(Foglio1!$H22:$S22)*Foglio1!BL22+SUM(Foglio1!$H26:$S26)*Foglio1!BL26</f>
        <v>25200</v>
      </c>
      <c r="F14" s="5">
        <f>(C14+D14+E14)*$K$1</f>
        <v>11431.5535119375</v>
      </c>
      <c r="G14" s="5">
        <f>0.1*SUM(C14:F14,H14)</f>
        <v>10414.48828869375</v>
      </c>
      <c r="H14" s="36">
        <v>0</v>
      </c>
      <c r="I14" s="5">
        <f>SUM(C14:H14)</f>
        <v>114559.37117563126</v>
      </c>
      <c r="J14" s="36"/>
      <c r="K14" s="38"/>
      <c r="L14" s="5">
        <f>C14+D14+$K$2*E14</f>
        <v>113949.359295</v>
      </c>
      <c r="N14" s="5">
        <f>L14+L15</f>
        <v>279272.45917499997</v>
      </c>
      <c r="O14" s="5">
        <f>L14+L15</f>
        <v>279272.45917499997</v>
      </c>
      <c r="P14" s="5">
        <f>I14+I15</f>
        <v>279477.73960528127</v>
      </c>
      <c r="Q14" s="40">
        <f>(N14+O14)/I18</f>
        <v>1.3959213071464422</v>
      </c>
      <c r="R14" s="34">
        <f>0.85*I18-N14</f>
        <v>60834.951011335012</v>
      </c>
      <c r="S14" s="5">
        <f>L16+L17</f>
        <v>121911.134105</v>
      </c>
      <c r="U14" s="5">
        <f>N14-O14</f>
        <v>0</v>
      </c>
      <c r="V14" s="5">
        <f>R14-S14</f>
        <v>-61076.183093664993</v>
      </c>
      <c r="W14" s="40">
        <f>V14/I18</f>
        <v>-0.15264223617230996</v>
      </c>
    </row>
    <row r="15" spans="2:23">
      <c r="B15" t="s">
        <v>6</v>
      </c>
      <c r="C15" s="36">
        <f>SUM(Foglio1!$T5:$AE5)*Foglio1!BJ5+SUM(Foglio1!$T18:$AE18)*Foglio1!BJ18+SUM(Foglio1!$T19:$AE19)*Foglio1!BJ19+SUM(Foglio1!$T20:$AE20)*Foglio1!BJ20+SUM(Foglio1!$T21:$AE21)*Foglio1!BJ21+SUM(Foglio1!$T22:$AE22)*Foglio1!BJ22+SUM(Foglio1!$T26:$AE26)*Foglio1!BJ26</f>
        <v>82770.455000000002</v>
      </c>
      <c r="D15" s="36">
        <f>SUM(Foglio1!$T5:$AE5)*Foglio1!BK5+SUM(Foglio1!$T18:$AE18)*Foglio1!BK18+SUM(Foglio1!$T19:$AE19)*Foglio1!BK19+SUM(Foglio1!$T20:$AE20)*Foglio1!BK20+SUM(Foglio1!$T21:$AE21)*Foglio1!BK21+SUM(Foglio1!$T22:$AE22)*Foglio1!BK22+SUM(Foglio1!$T26:$AE26)*Foglio1!BK26</f>
        <v>12898.6</v>
      </c>
      <c r="E15" s="36">
        <f>SUM(Foglio1!$T5:$AE5)*Foglio1!BL5+SUM(Foglio1!$T18:$AE18)*Foglio1!BL18+SUM(Foglio1!$T19:$AE19)*Foglio1!BL19+SUM(Foglio1!$T20:$AE20)*Foglio1!BL20+SUM(Foglio1!$T21:$AE21)*Foglio1!BL21+SUM(Foglio1!$T22:$AE22)*Foglio1!BL22+SUM(Foglio1!$T26:$AE26)*Foglio1!BL26</f>
        <v>37800</v>
      </c>
      <c r="F15" s="5">
        <f>(C15+D15+E15)*$K$1</f>
        <v>16456.7344815</v>
      </c>
      <c r="G15" s="5">
        <f>0.1*SUM(C15:F15,H15)</f>
        <v>14992.57894815</v>
      </c>
      <c r="H15" s="36">
        <v>0</v>
      </c>
      <c r="I15" s="5">
        <f>SUM(C15:H15)</f>
        <v>164918.36842965</v>
      </c>
      <c r="J15" s="36"/>
      <c r="K15" s="38"/>
      <c r="L15" s="5">
        <f>C15+D15+$K$2*E15</f>
        <v>165323.09987999999</v>
      </c>
    </row>
    <row r="16" spans="2:23">
      <c r="B16" t="s">
        <v>7</v>
      </c>
      <c r="C16" s="36">
        <f>SUM(Foglio1!$AF5:$AQ5)*Foglio1!BJ5+SUM(Foglio1!$AF18:$AQ18)*Foglio1!BJ18+SUM(Foglio1!$AF19:$AQ19)*Foglio1!BJ19+SUM(Foglio1!$AF20:$AQ20)*Foglio1!BJ20+SUM(Foglio1!$AF21:$AQ21)*Foglio1!BJ21+SUM(Foglio1!$AF22:$AQ22)*Foglio1!BJ22+SUM(Foglio1!$AF26:$AQ26)*Foglio1!BJ26</f>
        <v>29803.580625000002</v>
      </c>
      <c r="D16" s="36">
        <f>SUM(Foglio1!$AF5:$AQ5)*Foglio1!BK5+SUM(Foglio1!$AF18:$AQ18)*Foglio1!BK18+SUM(Foglio1!$AF19:$AQ19)*Foglio1!BK19+SUM(Foglio1!$AF20:$AQ20)*Foglio1!BK20+SUM(Foglio1!$AF21:$AQ21)*Foglio1!BK21+SUM(Foglio1!$AF22:$AQ22)*Foglio1!BK22+SUM(Foglio1!$AF26:$AQ26)*Foglio1!BK26</f>
        <v>3198</v>
      </c>
      <c r="E16" s="36">
        <f>SUM(Foglio1!$AF5:$AQ5)*Foglio1!BL5+SUM(Foglio1!$AF18:$AQ18)*Foglio1!BL18+SUM(Foglio1!$AF19:$AQ19)*Foglio1!BL19+SUM(Foglio1!$AF20:$AQ20)*Foglio1!BL20+SUM(Foglio1!$AF21:$AQ21)*Foglio1!BL21+SUM(Foglio1!$AF22:$AQ22)*Foglio1!BL22+SUM(Foglio1!$AF26:$AQ26)*Foglio1!BL26</f>
        <v>14400</v>
      </c>
      <c r="F16" s="5">
        <f>(C16+D16+E16)*$K$1</f>
        <v>5844.6148910625006</v>
      </c>
      <c r="G16" s="5">
        <f>0.1*SUM(C16:F16,H16)</f>
        <v>5324.6195516062508</v>
      </c>
      <c r="H16" s="36">
        <v>0</v>
      </c>
      <c r="I16" s="5">
        <f>SUM(C16:H16)</f>
        <v>58570.815067668751</v>
      </c>
      <c r="J16" s="36"/>
      <c r="K16" s="38"/>
      <c r="L16" s="5">
        <f>C16+D16+$K$2*E16</f>
        <v>59536.454865000007</v>
      </c>
    </row>
    <row r="17" spans="2:23">
      <c r="B17" t="s">
        <v>8</v>
      </c>
      <c r="C17" s="36">
        <f>SUM(Foglio1!$AR5:$BC5)*Foglio1!BJ5+SUM(Foglio1!$AR18:$BC18)*Foglio1!BJ18+SUM(Foglio1!$AR19:$BC19)*Foglio1!BJ19+SUM(Foglio1!$AR20:$BC20)*Foglio1!BJ20+SUM(Foglio1!$AR21:$BC21)*Foglio1!BJ21+SUM(Foglio1!$AR22:$BC22)*Foglio1!BJ22+SUM(Foglio1!$AR26:$BC26)*Foglio1!BJ26</f>
        <v>28271.205000000002</v>
      </c>
      <c r="D17" s="36">
        <f>SUM(Foglio1!$AR5:$BC5)*Foglio1!BK5+SUM(Foglio1!$AR18:$BC18)*Foglio1!BK18+SUM(Foglio1!$AR19:$BC19)*Foglio1!BK19+SUM(Foglio1!$AR20:$BC20)*Foglio1!BK20+SUM(Foglio1!$AR21:$BC21)*Foglio1!BK21+SUM(Foglio1!$AR22:$BC22)*Foglio1!BK22+SUM(Foglio1!$AR26:$BC26)*Foglio1!BK26</f>
        <v>7568.6</v>
      </c>
      <c r="E17" s="36">
        <f>SUM(Foglio1!$AR5:$BC5)*Foglio1!BL5+SUM(Foglio1!$AR18:$BC18)*Foglio1!BL18+SUM(Foglio1!$AR19:$BC19)*Foglio1!BL19+SUM(Foglio1!$AR20:$BC20)*Foglio1!BL20+SUM(Foglio1!$AR21:$BC21)*Foglio1!BL21+SUM(Foglio1!$AR22:$BC22)*Foglio1!BL22+SUM(Foglio1!$AR26:$BC26)*Foglio1!BL26</f>
        <v>14400</v>
      </c>
      <c r="F17" s="5">
        <f>(C17+D17+E17)*$K$1</f>
        <v>6194.5679565</v>
      </c>
      <c r="G17" s="5">
        <f>0.1*SUM(C17:F17,H17)</f>
        <v>5643.437295650001</v>
      </c>
      <c r="H17" s="36">
        <v>0</v>
      </c>
      <c r="I17" s="5">
        <f>SUM(C17:H17)</f>
        <v>62077.810252150004</v>
      </c>
      <c r="J17" s="36"/>
      <c r="K17" s="38"/>
      <c r="L17" s="5">
        <f>C17+D17+$K$2*E17</f>
        <v>62374.679239999998</v>
      </c>
    </row>
    <row r="18" spans="2:23">
      <c r="C18" s="37">
        <f t="shared" ref="C18:I18" si="1">SUM(C14:C17)</f>
        <v>196632.57</v>
      </c>
      <c r="D18" s="37">
        <f t="shared" si="1"/>
        <v>35391.199999999997</v>
      </c>
      <c r="E18" s="37">
        <f t="shared" si="1"/>
        <v>91800</v>
      </c>
      <c r="F18" s="37">
        <f t="shared" si="1"/>
        <v>39927.470841000002</v>
      </c>
      <c r="G18" s="37">
        <f t="shared" si="1"/>
        <v>36375.124084100004</v>
      </c>
      <c r="H18" s="35">
        <f t="shared" si="1"/>
        <v>0</v>
      </c>
      <c r="I18" s="35">
        <f t="shared" si="1"/>
        <v>400126.3649251</v>
      </c>
      <c r="J18" s="36"/>
    </row>
    <row r="20" spans="2:23">
      <c r="B20" s="2" t="s">
        <v>13</v>
      </c>
    </row>
    <row r="22" spans="2:23">
      <c r="C22" s="2" t="s">
        <v>23</v>
      </c>
      <c r="D22" s="2" t="s">
        <v>24</v>
      </c>
      <c r="E22" s="2" t="s">
        <v>25</v>
      </c>
      <c r="F22" s="2" t="s">
        <v>56</v>
      </c>
      <c r="G22" s="2" t="s">
        <v>57</v>
      </c>
      <c r="H22" s="2" t="s">
        <v>60</v>
      </c>
      <c r="I22" s="2" t="s">
        <v>58</v>
      </c>
      <c r="J22" s="2"/>
      <c r="L22" s="2" t="s">
        <v>66</v>
      </c>
      <c r="N22" s="2" t="s">
        <v>61</v>
      </c>
      <c r="O22" s="2" t="s">
        <v>63</v>
      </c>
      <c r="P22" s="2" t="s">
        <v>69</v>
      </c>
      <c r="Q22" s="2" t="s">
        <v>70</v>
      </c>
      <c r="R22" s="2" t="s">
        <v>71</v>
      </c>
      <c r="S22" s="2" t="s">
        <v>64</v>
      </c>
      <c r="U22" s="2" t="s">
        <v>74</v>
      </c>
      <c r="V22" s="2" t="s">
        <v>75</v>
      </c>
      <c r="W22" s="2" t="s">
        <v>77</v>
      </c>
    </row>
    <row r="23" spans="2:23">
      <c r="B23" t="s">
        <v>5</v>
      </c>
      <c r="C23" s="34">
        <f>SUM(Foglio1!$H15:$S15)*Foglio1!BJ15+SUM(Foglio1!$H17:$S17)*Foglio1!BJ17+SUM(Foglio1!$H23:$S23)*Foglio1!BJ23</f>
        <v>0</v>
      </c>
      <c r="D23" s="34">
        <f>SUM(Foglio1!$H15:$S15)*Foglio1!BK15+SUM(Foglio1!$H17:$S17)*Foglio1!BK17+SUM(Foglio1!$H23:$S23)*Foglio1!BK23</f>
        <v>0</v>
      </c>
      <c r="E23" s="34">
        <f>SUM(Foglio1!$H15:$S15)*Foglio1!BL15+SUM(Foglio1!$H17:$S17)*Foglio1!BL17+SUM(Foglio1!$H23:$S23)*Foglio1!BL23</f>
        <v>0</v>
      </c>
      <c r="F23" s="5">
        <f>(C23+D23+E23)*$K$1</f>
        <v>0</v>
      </c>
      <c r="G23" s="5">
        <f>0.1*SUM(C23:F23,H23)</f>
        <v>0</v>
      </c>
      <c r="H23" s="34">
        <v>0</v>
      </c>
      <c r="I23" s="5">
        <f>SUM(C23:H23)</f>
        <v>0</v>
      </c>
      <c r="J23" s="34"/>
      <c r="K23" s="38"/>
      <c r="L23" s="5">
        <f>C23+D23+$K$2*E23</f>
        <v>0</v>
      </c>
      <c r="N23" s="5">
        <f>L23+L24</f>
        <v>80433.206853333337</v>
      </c>
      <c r="O23" s="5">
        <f>L23+L24</f>
        <v>80433.206853333337</v>
      </c>
      <c r="P23" s="5">
        <f>I23+I24</f>
        <v>82517.191894866672</v>
      </c>
      <c r="Q23" s="40">
        <f>(N23+O23)/I27</f>
        <v>0.85863601520256994</v>
      </c>
      <c r="R23" s="34">
        <f>0.85*I27-N23</f>
        <v>78815.239787246654</v>
      </c>
      <c r="S23" s="5">
        <f>L25+L26</f>
        <v>101527.93874666668</v>
      </c>
      <c r="U23" s="5">
        <f>N23-O23</f>
        <v>0</v>
      </c>
      <c r="V23" s="5">
        <f>R23-S23</f>
        <v>-22712.698959420028</v>
      </c>
      <c r="W23" s="40">
        <f>V23/I27</f>
        <v>-0.12123065890293894</v>
      </c>
    </row>
    <row r="24" spans="2:23">
      <c r="B24" t="s">
        <v>6</v>
      </c>
      <c r="C24" s="34">
        <f>SUM(Foglio1!$T15:$AE15)*Foglio1!BJ15+SUM(Foglio1!$T17:$AE17)*Foglio1!BJ17+SUM(Foglio1!$T23:$AE23)*Foglio1!BJ23</f>
        <v>41761.998333333337</v>
      </c>
      <c r="D24" s="34">
        <f>SUM(Foglio1!$T15:$AE15)*Foglio1!BK15+SUM(Foglio1!$T17:$AE17)*Foglio1!BK17+SUM(Foglio1!$T23:$AE23)*Foglio1!BK23</f>
        <v>8819.4750000000004</v>
      </c>
      <c r="E24" s="34">
        <f>SUM(Foglio1!$T15:$AE15)*Foglio1!BL15+SUM(Foglio1!$T17:$AE17)*Foglio1!BL17+SUM(Foglio1!$T23:$AE23)*Foglio1!BL23</f>
        <v>16200</v>
      </c>
      <c r="F24" s="5">
        <f>(C24+D24+E24)*$K$1</f>
        <v>8234.1556619999992</v>
      </c>
      <c r="G24" s="5">
        <f>0.1*SUM(C24:F24,H24)</f>
        <v>7501.5628995333336</v>
      </c>
      <c r="H24" s="34">
        <v>0</v>
      </c>
      <c r="I24" s="5">
        <f>SUM(C24:H24)</f>
        <v>82517.191894866672</v>
      </c>
      <c r="J24" s="34"/>
      <c r="K24" s="38"/>
      <c r="L24" s="5">
        <f>C24+D24+$K$2*E24</f>
        <v>80433.206853333337</v>
      </c>
    </row>
    <row r="25" spans="2:23">
      <c r="B25" t="s">
        <v>7</v>
      </c>
      <c r="C25" s="34">
        <f>SUM(Foglio1!$AF15:$AQ15)*Foglio1!BJ15+SUM(Foglio1!$AF17:$AQ17)*Foglio1!BJ17+SUM(Foglio1!$AF23:$AQ23)*Foglio1!BJ23</f>
        <v>45516.918333333335</v>
      </c>
      <c r="D25" s="34">
        <f>SUM(Foglio1!$AF15:$AQ15)*Foglio1!BK15+SUM(Foglio1!$AF17:$AQ17)*Foglio1!BK17+SUM(Foglio1!$AF23:$AQ23)*Foglio1!BK23</f>
        <v>9314.0249999999996</v>
      </c>
      <c r="E25" s="34">
        <f>SUM(Foglio1!$AF15:$AQ15)*Foglio1!BL15+SUM(Foglio1!$AF17:$AQ17)*Foglio1!BL17+SUM(Foglio1!$AF23:$AQ23)*Foglio1!BL23</f>
        <v>16200</v>
      </c>
      <c r="F25" s="5">
        <f>(C25+D25+E25)*$K$1</f>
        <v>8758.1153130000002</v>
      </c>
      <c r="G25" s="5">
        <f>0.1*SUM(C25:F25,H25)</f>
        <v>7978.9058646333333</v>
      </c>
      <c r="H25" s="34">
        <v>0</v>
      </c>
      <c r="I25" s="5">
        <f>SUM(C25:H25)</f>
        <v>87767.96451096666</v>
      </c>
      <c r="J25" s="34"/>
      <c r="K25" s="38"/>
      <c r="L25" s="5">
        <f>C25+D25+$K$2*E25</f>
        <v>84682.676853333338</v>
      </c>
    </row>
    <row r="26" spans="2:23">
      <c r="B26" t="s">
        <v>8</v>
      </c>
      <c r="C26" s="34">
        <f>SUM(Foglio1!$AR15:$BC15)*Foglio1!BJ15+SUM(Foglio1!$AR17:$BC17)*Foglio1!BJ17+SUM(Foglio1!$AR23:$BC23)*Foglio1!BJ23</f>
        <v>8013.543333333334</v>
      </c>
      <c r="D26" s="34">
        <f>SUM(Foglio1!$AR15:$BC15)*Foglio1!BK15+SUM(Foglio1!$AR17:$BC17)*Foglio1!BK17+SUM(Foglio1!$AR23:$BC23)*Foglio1!BK23</f>
        <v>2198</v>
      </c>
      <c r="E26" s="34">
        <f>SUM(Foglio1!$AR15:$BC15)*Foglio1!BL15+SUM(Foglio1!$AR17:$BC17)*Foglio1!BL17+SUM(Foglio1!$AR23:$BC23)*Foglio1!BL23</f>
        <v>3600</v>
      </c>
      <c r="F26" s="5">
        <f>(C26+D26+E26)*$K$1</f>
        <v>1702.9632930000002</v>
      </c>
      <c r="G26" s="5">
        <f>0.1*SUM(C26:F26,H26)</f>
        <v>1551.4506626333336</v>
      </c>
      <c r="H26" s="34">
        <v>0</v>
      </c>
      <c r="I26" s="5">
        <f>SUM(C26:H26)</f>
        <v>17065.957288966671</v>
      </c>
      <c r="J26" s="34"/>
      <c r="K26" s="38"/>
      <c r="L26" s="5">
        <f>C26+D26+$K$2*E26</f>
        <v>16845.261893333336</v>
      </c>
    </row>
    <row r="27" spans="2:23">
      <c r="C27" s="35">
        <f t="shared" ref="C27:I27" si="2">SUM(C23:C26)</f>
        <v>95292.46</v>
      </c>
      <c r="D27" s="35">
        <f t="shared" si="2"/>
        <v>20331.5</v>
      </c>
      <c r="E27" s="35">
        <f t="shared" si="2"/>
        <v>36000</v>
      </c>
      <c r="F27" s="37">
        <f t="shared" si="2"/>
        <v>18695.234268</v>
      </c>
      <c r="G27" s="35">
        <f t="shared" si="2"/>
        <v>17031.919426800003</v>
      </c>
      <c r="H27" s="35">
        <f t="shared" si="2"/>
        <v>0</v>
      </c>
      <c r="I27" s="35">
        <f t="shared" si="2"/>
        <v>187351.11369479998</v>
      </c>
      <c r="J27" s="34"/>
    </row>
    <row r="29" spans="2:23">
      <c r="B29" s="2" t="s">
        <v>12</v>
      </c>
    </row>
    <row r="31" spans="2:23">
      <c r="C31" s="2" t="s">
        <v>23</v>
      </c>
      <c r="D31" s="2" t="s">
        <v>24</v>
      </c>
      <c r="E31" s="2" t="s">
        <v>25</v>
      </c>
      <c r="F31" s="2" t="s">
        <v>56</v>
      </c>
      <c r="G31" s="2" t="s">
        <v>57</v>
      </c>
      <c r="H31" s="2" t="s">
        <v>60</v>
      </c>
      <c r="I31" s="2" t="s">
        <v>58</v>
      </c>
      <c r="J31" s="2"/>
      <c r="L31" s="2" t="s">
        <v>66</v>
      </c>
      <c r="N31" s="2" t="s">
        <v>61</v>
      </c>
      <c r="O31" s="2" t="s">
        <v>63</v>
      </c>
      <c r="P31" s="2" t="s">
        <v>69</v>
      </c>
      <c r="Q31" s="2" t="s">
        <v>70</v>
      </c>
      <c r="R31" s="2" t="s">
        <v>71</v>
      </c>
      <c r="S31" s="2" t="s">
        <v>64</v>
      </c>
      <c r="U31" s="2" t="s">
        <v>74</v>
      </c>
      <c r="V31" s="2" t="s">
        <v>75</v>
      </c>
      <c r="W31" s="2" t="s">
        <v>77</v>
      </c>
    </row>
    <row r="32" spans="2:23">
      <c r="B32" t="s">
        <v>5</v>
      </c>
      <c r="C32" s="5">
        <f>SUM(Foglio1!$H10:$S10)*Foglio1!BJ10+SUM(Foglio1!$H12:$S12)*Foglio1!BJ12+SUM(Foglio1!$H13:$S13)*Foglio1!BJ13+SUM(Foglio1!$H16:$S16)*Foglio1!BJ16</f>
        <v>9243</v>
      </c>
      <c r="D32" s="5">
        <f>SUM(Foglio1!$H10:$S10)*Foglio1!BK10+SUM(Foglio1!$H12:$S12)*Foglio1!BK12+SUM(Foglio1!$H13:$S13)*Foglio1!BK13+SUM(Foglio1!$H16:$S16)*Foglio1!BK16</f>
        <v>0</v>
      </c>
      <c r="E32" s="5">
        <f>SUM(Foglio1!$H10:$S10)*Foglio1!BL10+SUM(Foglio1!$H12:$S12)*Foglio1!BL12+SUM(Foglio1!$H13:$S13)*Foglio1!BL13+SUM(Foglio1!$H16:$S16)*Foglio1!BL16</f>
        <v>3600</v>
      </c>
      <c r="F32" s="5">
        <f>(C32+D32+E32)*$K$1</f>
        <v>1583.5419000000002</v>
      </c>
      <c r="G32" s="5">
        <f>0.1*SUM(C32:F32,H32)</f>
        <v>1442.6541900000002</v>
      </c>
      <c r="H32">
        <v>0</v>
      </c>
      <c r="I32" s="5">
        <f>SUM(C32:H32)</f>
        <v>15869.196090000001</v>
      </c>
      <c r="K32" s="38"/>
      <c r="L32" s="5">
        <f>C32+D32+$K$2*E32</f>
        <v>15876.718560000001</v>
      </c>
      <c r="N32" s="5">
        <f>L32+L33</f>
        <v>137536.54848</v>
      </c>
      <c r="O32" s="5">
        <f>L32+L33</f>
        <v>137536.54848</v>
      </c>
      <c r="P32" s="5">
        <f>I32+I33</f>
        <v>139955.85608400003</v>
      </c>
      <c r="Q32" s="40">
        <f>(N32+O32)/I36</f>
        <v>1.0417757755298067</v>
      </c>
      <c r="R32" s="34">
        <f>0.85*I36-N32</f>
        <v>86899.590186300047</v>
      </c>
      <c r="S32" s="5">
        <f>L34+L35</f>
        <v>121659.82992</v>
      </c>
      <c r="U32" s="5">
        <f>N32-O32</f>
        <v>0</v>
      </c>
      <c r="V32" s="5">
        <f>R32-S32</f>
        <v>-34760.239733699957</v>
      </c>
      <c r="W32" s="40">
        <f>V32/I36</f>
        <v>-0.1316463736598826</v>
      </c>
    </row>
    <row r="33" spans="2:23">
      <c r="B33" t="s">
        <v>6</v>
      </c>
      <c r="C33" s="5">
        <f>SUM(Foglio1!$T10:$AE10)*Foglio1!BJ10+SUM(Foglio1!$T12:$AE12)*Foglio1!BJ12+SUM(Foglio1!$T13:$AE13)*Foglio1!BJ13+SUM(Foglio1!$T16:$AE16)*Foglio1!BJ16</f>
        <v>64701</v>
      </c>
      <c r="D33" s="5">
        <f>SUM(Foglio1!$T10:$AE10)*Foglio1!BK10+SUM(Foglio1!$T12:$AE12)*Foglio1!BK12+SUM(Foglio1!$T13:$AE13)*Foglio1!BK13+SUM(Foglio1!$T16:$AE16)*Foglio1!BK16</f>
        <v>10522.8</v>
      </c>
      <c r="E33" s="5">
        <f>SUM(Foglio1!$T10:$AE10)*Foglio1!BL10+SUM(Foglio1!$T12:$AE12)*Foglio1!BL12+SUM(Foglio1!$T13:$AE13)*Foglio1!BL13+SUM(Foglio1!$T16:$AE16)*Foglio1!BL16</f>
        <v>25200</v>
      </c>
      <c r="F33" s="5">
        <f>(C33+D33+E33)*$K$1</f>
        <v>12382.254540000002</v>
      </c>
      <c r="G33" s="5">
        <f>0.1*SUM(C33:F33,H33)</f>
        <v>11280.605454000002</v>
      </c>
      <c r="H33">
        <v>0</v>
      </c>
      <c r="I33" s="5">
        <f>SUM(C33:H33)</f>
        <v>124086.65999400002</v>
      </c>
      <c r="K33" s="38"/>
      <c r="L33" s="5">
        <f>C33+D33+$K$2*E33</f>
        <v>121659.82992</v>
      </c>
    </row>
    <row r="34" spans="2:23">
      <c r="B34" t="s">
        <v>7</v>
      </c>
      <c r="C34" s="5">
        <f>SUM(Foglio1!$AF10:$AQ10)*Foglio1!BJ10+SUM(Foglio1!$AF12:$AQ12)*Foglio1!BJ12+SUM(Foglio1!$AF13:$AQ13)*Foglio1!BJ13+SUM(Foglio1!$AF16:$AQ16)*Foglio1!BJ16</f>
        <v>64701</v>
      </c>
      <c r="D34" s="5">
        <f>SUM(Foglio1!$AF10:$AQ10)*Foglio1!BK10+SUM(Foglio1!$AF12:$AQ12)*Foglio1!BK12+SUM(Foglio1!$AF13:$AQ13)*Foglio1!BK13+SUM(Foglio1!$AF16:$AQ16)*Foglio1!BK16</f>
        <v>10522.8</v>
      </c>
      <c r="E34" s="5">
        <f>SUM(Foglio1!$AF10:$AQ10)*Foglio1!BL10+SUM(Foglio1!$AF12:$AQ12)*Foglio1!BL12+SUM(Foglio1!$AF13:$AQ13)*Foglio1!BL13+SUM(Foglio1!$AF16:$AQ16)*Foglio1!BL16</f>
        <v>25200</v>
      </c>
      <c r="F34" s="5">
        <f>(C34+D34+E34)*$K$1</f>
        <v>12382.254540000002</v>
      </c>
      <c r="G34" s="5">
        <f>0.1*SUM(C34:F34,H34)</f>
        <v>11280.605454000002</v>
      </c>
      <c r="H34">
        <v>0</v>
      </c>
      <c r="I34" s="5">
        <f>SUM(C34:H34)</f>
        <v>124086.65999400002</v>
      </c>
      <c r="K34" s="38"/>
      <c r="L34" s="5">
        <f>C34+D34+$K$2*E34</f>
        <v>121659.82992</v>
      </c>
    </row>
    <row r="35" spans="2:23">
      <c r="B35" t="s">
        <v>8</v>
      </c>
      <c r="C35" s="5">
        <f>SUM(Foglio1!$AR10:$BC10)*Foglio1!BJ10+SUM(Foglio1!$AR12:$BC12)*Foglio1!BJ12+SUM(Foglio1!$AR13:$BC13)*Foglio1!BJ13+SUM(Foglio1!$AR16:$BC16)*Foglio1!BJ16</f>
        <v>0</v>
      </c>
      <c r="D35" s="5">
        <f>SUM(Foglio1!$AR10:$BC10)*Foglio1!BK10+SUM(Foglio1!$AR12:$BC12)*Foglio1!BK12+SUM(Foglio1!$AR13:$BC13)*Foglio1!BK13+SUM(Foglio1!$AR16:$BC16)*Foglio1!BK16</f>
        <v>0</v>
      </c>
      <c r="E35" s="5">
        <f>SUM(Foglio1!$AR10:$BC10)*Foglio1!BL10+SUM(Foglio1!$AR12:$BC12)*Foglio1!BL12+SUM(Foglio1!$AR13:$BC13)*Foglio1!BL13+SUM(Foglio1!$AR16:$BC16)*Foglio1!BL16</f>
        <v>0</v>
      </c>
      <c r="F35" s="5">
        <f>(C35+D35+E35)*$K$1</f>
        <v>0</v>
      </c>
      <c r="G35" s="5">
        <f>0.1*SUM(C35:F35,H35)</f>
        <v>0</v>
      </c>
      <c r="H35">
        <v>0</v>
      </c>
      <c r="I35" s="5">
        <f>SUM(C35:H35)</f>
        <v>0</v>
      </c>
      <c r="K35" s="38"/>
      <c r="L35" s="5">
        <f>C35+D35+$K$2*E35</f>
        <v>0</v>
      </c>
    </row>
    <row r="36" spans="2:23">
      <c r="C36" s="35">
        <f t="shared" ref="C36:I36" si="3">SUM(C32:C35)</f>
        <v>138645</v>
      </c>
      <c r="D36" s="35">
        <f t="shared" si="3"/>
        <v>21045.599999999999</v>
      </c>
      <c r="E36" s="35">
        <f t="shared" si="3"/>
        <v>54000</v>
      </c>
      <c r="F36" s="37">
        <f t="shared" si="3"/>
        <v>26348.050980000004</v>
      </c>
      <c r="G36" s="35">
        <f t="shared" si="3"/>
        <v>24003.865098000002</v>
      </c>
      <c r="H36" s="35">
        <f t="shared" si="3"/>
        <v>0</v>
      </c>
      <c r="I36" s="35">
        <f t="shared" si="3"/>
        <v>264042.51607800007</v>
      </c>
    </row>
    <row r="38" spans="2:23">
      <c r="B38" s="2" t="s">
        <v>9</v>
      </c>
    </row>
    <row r="40" spans="2:23">
      <c r="C40" s="2" t="s">
        <v>23</v>
      </c>
      <c r="D40" s="2" t="s">
        <v>24</v>
      </c>
      <c r="E40" s="2" t="s">
        <v>25</v>
      </c>
      <c r="F40" s="2" t="s">
        <v>56</v>
      </c>
      <c r="G40" s="2" t="s">
        <v>57</v>
      </c>
      <c r="H40" s="2" t="s">
        <v>60</v>
      </c>
      <c r="I40" s="2" t="s">
        <v>58</v>
      </c>
      <c r="J40" s="2"/>
      <c r="L40" s="2" t="s">
        <v>66</v>
      </c>
      <c r="N40" s="2" t="s">
        <v>61</v>
      </c>
      <c r="O40" s="2" t="s">
        <v>63</v>
      </c>
      <c r="P40" s="2" t="s">
        <v>69</v>
      </c>
      <c r="Q40" s="2" t="s">
        <v>70</v>
      </c>
      <c r="R40" s="2" t="s">
        <v>71</v>
      </c>
      <c r="S40" s="2" t="s">
        <v>64</v>
      </c>
      <c r="U40" s="2" t="s">
        <v>74</v>
      </c>
      <c r="V40" s="2" t="s">
        <v>75</v>
      </c>
      <c r="W40" s="2" t="s">
        <v>77</v>
      </c>
    </row>
    <row r="41" spans="2:23">
      <c r="B41" t="s">
        <v>5</v>
      </c>
      <c r="C41" s="5">
        <f>SUM(Foglio1!$H4:$S4)*Foglio1!BJ4+SUM(Foglio1!$H6:$S6)*Foglio1!BJ6+SUM(Foglio1!$H7:$S7)*Foglio1!BJ7+SUM(Foglio1!$H8:$S8)*Foglio1!BJ8</f>
        <v>41554</v>
      </c>
      <c r="D41" s="5">
        <f>SUM(Foglio1!$H4:$S4)*Foglio1!BK4+SUM(Foglio1!$H6:$S6)*Foglio1!BK6+SUM(Foglio1!$H7:$S7)*Foglio1!BK7+SUM(Foglio1!$H8:$S8)*Foglio1!BK8</f>
        <v>3792</v>
      </c>
      <c r="E41" s="5">
        <f>SUM(Foglio1!$H4:$S4)*Foglio1!BL4+SUM(Foglio1!$H6:$S6)*Foglio1!BL6+SUM(Foglio1!$H7:$S7)*Foglio1!BL7+SUM(Foglio1!$H8:$S8)*Foglio1!BL8</f>
        <v>18000</v>
      </c>
      <c r="F41" s="5">
        <f>(C41+D41+E41)*$K$1</f>
        <v>7810.5618000000004</v>
      </c>
      <c r="G41" s="5">
        <f>0.1*SUM(C41:F41,H41)</f>
        <v>7115.6561799999999</v>
      </c>
      <c r="H41">
        <v>0</v>
      </c>
      <c r="I41" s="5">
        <f>SUM(C41:H41)</f>
        <v>78272.217980000001</v>
      </c>
      <c r="K41" s="38"/>
      <c r="L41" s="5">
        <f>C41+D41+$K$2*E41</f>
        <v>78514.592799999999</v>
      </c>
      <c r="N41" s="5">
        <f>L41+L42</f>
        <v>109833.52992</v>
      </c>
      <c r="O41" s="5">
        <f>L41+L42</f>
        <v>109833.52992</v>
      </c>
      <c r="P41" s="5">
        <f>I41+I42</f>
        <v>109473.728925</v>
      </c>
      <c r="Q41" s="40">
        <f>(N41+O41)/I45</f>
        <v>2.0065732847237987</v>
      </c>
      <c r="R41" s="34">
        <f>0.85*I45-N41</f>
        <v>-16780.860333749995</v>
      </c>
      <c r="S41" s="5">
        <f>L43+L44</f>
        <v>0</v>
      </c>
      <c r="U41" s="5">
        <f>N41-O41</f>
        <v>0</v>
      </c>
      <c r="V41" s="5">
        <f>R41-S41</f>
        <v>-16780.860333749995</v>
      </c>
      <c r="W41" s="40">
        <f>V41/I45</f>
        <v>-0.15328664236189937</v>
      </c>
    </row>
    <row r="42" spans="2:23">
      <c r="B42" t="s">
        <v>6</v>
      </c>
      <c r="C42" s="5">
        <f>SUM(Foglio1!$T4:$AE4)*Foglio1!BJ4+SUM(Foglio1!$T6:$AE6)*Foglio1!BJ6+SUM(Foglio1!$T7:$AE7)*Foglio1!BJ7+SUM(Foglio1!$T8:$AE8)*Foglio1!BJ8</f>
        <v>16155.5</v>
      </c>
      <c r="D42" s="5">
        <f>SUM(Foglio1!$T4:$AE4)*Foglio1!BK4+SUM(Foglio1!$T6:$AE6)*Foglio1!BK6+SUM(Foglio1!$T7:$AE7)*Foglio1!BK7+SUM(Foglio1!$T8:$AE8)*Foglio1!BK8</f>
        <v>1896</v>
      </c>
      <c r="E42" s="5">
        <f>SUM(Foglio1!$T4:$AE4)*Foglio1!BL4+SUM(Foglio1!$T6:$AE6)*Foglio1!BL6+SUM(Foglio1!$T7:$AE7)*Foglio1!BL7+SUM(Foglio1!$T8:$AE8)*Foglio1!BL8</f>
        <v>7200</v>
      </c>
      <c r="F42" s="5">
        <f>(C42+D42+E42)*$K$1</f>
        <v>3113.5099500000001</v>
      </c>
      <c r="G42" s="5">
        <f>0.1*SUM(C42:F42,H42)</f>
        <v>2836.5009950000003</v>
      </c>
      <c r="H42">
        <v>0</v>
      </c>
      <c r="I42" s="5">
        <f>SUM(C42:H42)</f>
        <v>31201.510945000002</v>
      </c>
      <c r="K42" s="38"/>
      <c r="L42" s="5">
        <f>C42+D42+$K$2*E42</f>
        <v>31318.937120000002</v>
      </c>
    </row>
    <row r="43" spans="2:23">
      <c r="B43" t="s">
        <v>7</v>
      </c>
      <c r="C43" s="5">
        <f>SUM(Foglio1!$AF4:$AQ4)*Foglio1!BJ4+SUM(Foglio1!$AF6:$AQ6)*Foglio1!BJ6+SUM(Foglio1!$AF7:$AQ7)*Foglio1!BJ7+SUM(Foglio1!$AF8:$AQ8)*Foglio1!BJ8</f>
        <v>0</v>
      </c>
      <c r="D43" s="5">
        <f>SUM(Foglio1!$AF4:$AQ4)*Foglio1!BK4+SUM(Foglio1!$AF6:$AQ6)*Foglio1!BK6+SUM(Foglio1!$AF7:$AQ7)*Foglio1!BK7+SUM(Foglio1!$AF8:$AQ8)*Foglio1!BK8</f>
        <v>0</v>
      </c>
      <c r="E43" s="5">
        <f>SUM(Foglio1!$AF4:$AQ4)*Foglio1!BL4+SUM(Foglio1!$AF6:$AQ6)*Foglio1!BL6+SUM(Foglio1!$AF7:$AQ7)*Foglio1!BL7+SUM(Foglio1!$AF8:$AQ8)*Foglio1!BL8</f>
        <v>0</v>
      </c>
      <c r="F43" s="5">
        <f>(C43+D43+E43)*$K$1</f>
        <v>0</v>
      </c>
      <c r="G43" s="5">
        <f>0.1*SUM(C43:F43,H43)</f>
        <v>0</v>
      </c>
      <c r="H43">
        <v>0</v>
      </c>
      <c r="I43" s="5">
        <f>SUM(C43:H43)</f>
        <v>0</v>
      </c>
      <c r="K43" s="38"/>
      <c r="L43" s="5">
        <f>C43+D43+$K$2*E43</f>
        <v>0</v>
      </c>
    </row>
    <row r="44" spans="2:23">
      <c r="B44" t="s">
        <v>8</v>
      </c>
      <c r="C44" s="5">
        <f>SUM(Foglio1!$AR4:$BC4)*Foglio1!BJ4+SUM(Foglio1!$AR6:$BC6)*Foglio1!BJ6+SUM(Foglio1!$AR7:$BC7)*Foglio1!BJ7+SUM(Foglio1!$AR8:$BC8)*Foglio1!BJ8</f>
        <v>0</v>
      </c>
      <c r="D44" s="5">
        <f>SUM(Foglio1!$AR4:$BC4)*Foglio1!BK4+SUM(Foglio1!$AR6:$BC6)*Foglio1!BK6+SUM(Foglio1!$AR7:$BC7)*Foglio1!BK7+SUM(Foglio1!$AR8:$BC8)*Foglio1!BK8</f>
        <v>0</v>
      </c>
      <c r="E44" s="5">
        <f>SUM(Foglio1!$AR4:$BC4)*Foglio1!BL4+SUM(Foglio1!$AR6:$BC6)*Foglio1!BL6+SUM(Foglio1!$AR7:$BC7)*Foglio1!BL7+SUM(Foglio1!$AR8:$BC8)*Foglio1!BL8</f>
        <v>0</v>
      </c>
      <c r="F44" s="5">
        <f>(C44+D44+E44)*$K$1</f>
        <v>0</v>
      </c>
      <c r="G44" s="5">
        <f>0.1*SUM(C44:F44,H44)</f>
        <v>0</v>
      </c>
      <c r="H44">
        <v>0</v>
      </c>
      <c r="I44" s="5">
        <f>SUM(C44:H44)</f>
        <v>0</v>
      </c>
      <c r="K44" s="38"/>
      <c r="L44" s="5">
        <f>C44+D44+$K$2*E44</f>
        <v>0</v>
      </c>
    </row>
    <row r="45" spans="2:23">
      <c r="C45" s="35">
        <f t="shared" ref="C45:I45" si="4">SUM(C41:C44)</f>
        <v>57709.5</v>
      </c>
      <c r="D45" s="35">
        <f t="shared" si="4"/>
        <v>5688</v>
      </c>
      <c r="E45" s="35">
        <f t="shared" si="4"/>
        <v>25200</v>
      </c>
      <c r="F45" s="37">
        <f t="shared" si="4"/>
        <v>10924.071750000001</v>
      </c>
      <c r="G45" s="35">
        <f t="shared" si="4"/>
        <v>9952.1571750000003</v>
      </c>
      <c r="H45" s="35">
        <f t="shared" si="4"/>
        <v>0</v>
      </c>
      <c r="I45" s="35">
        <f t="shared" si="4"/>
        <v>109473.728925</v>
      </c>
    </row>
    <row r="47" spans="2:23">
      <c r="B47" s="2" t="s">
        <v>14</v>
      </c>
    </row>
    <row r="49" spans="2:23">
      <c r="C49" s="2" t="s">
        <v>23</v>
      </c>
      <c r="D49" s="2" t="s">
        <v>24</v>
      </c>
      <c r="E49" s="2" t="s">
        <v>25</v>
      </c>
      <c r="F49" s="2" t="s">
        <v>56</v>
      </c>
      <c r="G49" s="2" t="s">
        <v>57</v>
      </c>
      <c r="H49" s="2" t="s">
        <v>60</v>
      </c>
      <c r="I49" s="2" t="s">
        <v>58</v>
      </c>
      <c r="J49" s="2"/>
      <c r="L49" s="2" t="s">
        <v>66</v>
      </c>
      <c r="N49" s="2" t="s">
        <v>61</v>
      </c>
      <c r="O49" s="2" t="s">
        <v>63</v>
      </c>
      <c r="P49" s="2" t="s">
        <v>69</v>
      </c>
      <c r="Q49" s="2" t="s">
        <v>70</v>
      </c>
      <c r="R49" s="2" t="s">
        <v>71</v>
      </c>
      <c r="S49" s="2" t="s">
        <v>64</v>
      </c>
      <c r="U49" s="2" t="s">
        <v>74</v>
      </c>
      <c r="V49" s="2" t="s">
        <v>75</v>
      </c>
      <c r="W49" s="2" t="s">
        <v>77</v>
      </c>
    </row>
    <row r="50" spans="2:23">
      <c r="B50" t="s">
        <v>5</v>
      </c>
      <c r="C50" s="5">
        <f>SUM(Foglio1!$H27:$S27)*Foglio1!BJ27</f>
        <v>59259.375</v>
      </c>
      <c r="D50" s="5">
        <f>SUM(Foglio1!$H27:$S27)*Foglio1!BK27</f>
        <v>8127</v>
      </c>
      <c r="E50" s="5">
        <f>SUM(Foglio1!$H27:$S27)*Foglio1!BL27</f>
        <v>12600</v>
      </c>
      <c r="F50" s="5">
        <f>(C50+D50+E50)*$K$1</f>
        <v>9862.3200374999997</v>
      </c>
      <c r="G50" s="5">
        <f>0.1*SUM(C50:F50,H50)</f>
        <v>8984.8695037500001</v>
      </c>
      <c r="H50">
        <v>0</v>
      </c>
      <c r="I50" s="5">
        <f>SUM(C50:H50)</f>
        <v>98833.564541250002</v>
      </c>
      <c r="K50" s="38"/>
      <c r="L50" s="5">
        <f>C50+D50+$K$2*E50</f>
        <v>90604.38996</v>
      </c>
      <c r="N50" s="5">
        <f>L50+L51</f>
        <v>155321.81135999999</v>
      </c>
      <c r="O50" s="5">
        <f>L50+L51</f>
        <v>155321.81135999999</v>
      </c>
      <c r="P50" s="5">
        <f>I50+I51</f>
        <v>169428.96778499999</v>
      </c>
      <c r="Q50" s="40">
        <f>(N50+O50)/I54</f>
        <v>1.8334740911258867</v>
      </c>
      <c r="R50" s="34">
        <f>0.85*I54-N50</f>
        <v>-11307.188742750004</v>
      </c>
      <c r="S50" s="5">
        <f>L52+L53</f>
        <v>0</v>
      </c>
      <c r="U50" s="5">
        <f>N50-O50</f>
        <v>0</v>
      </c>
      <c r="V50" s="5">
        <f>R50-S50</f>
        <v>-11307.188742750004</v>
      </c>
      <c r="W50" s="40">
        <f>V50/I54</f>
        <v>-6.673704556294334E-2</v>
      </c>
    </row>
    <row r="51" spans="2:23">
      <c r="B51" t="s">
        <v>6</v>
      </c>
      <c r="C51" s="5">
        <f>SUM(Foglio1!$T27:$AE27)*Foglio1!BJ27</f>
        <v>42328.125</v>
      </c>
      <c r="D51" s="5">
        <f>SUM(Foglio1!$T27:$AE27)*Foglio1!BK27</f>
        <v>5805</v>
      </c>
      <c r="E51" s="5">
        <f>SUM(Foglio1!$T27:$AE27)*Foglio1!BL27</f>
        <v>9000</v>
      </c>
      <c r="F51" s="5">
        <f>(C51+D51+E51)*$K$1</f>
        <v>7044.5143125000004</v>
      </c>
      <c r="G51" s="5">
        <f>0.1*SUM(C51:F51,H51)</f>
        <v>6417.7639312500005</v>
      </c>
      <c r="H51">
        <v>0</v>
      </c>
      <c r="I51" s="5">
        <f>SUM(C51:H51)</f>
        <v>70595.403243749999</v>
      </c>
      <c r="K51" s="38"/>
      <c r="L51" s="5">
        <f>C51+D51+$K$2*E51</f>
        <v>64717.421399999999</v>
      </c>
    </row>
    <row r="52" spans="2:23">
      <c r="B52" t="s">
        <v>7</v>
      </c>
      <c r="C52" s="5">
        <f>SUM(Foglio1!$AF27:$AQ27)*Foglio1!BJ27</f>
        <v>0</v>
      </c>
      <c r="D52" s="5">
        <f>SUM(Foglio1!$AF27:$AQ27)*Foglio1!BK27</f>
        <v>0</v>
      </c>
      <c r="E52" s="5">
        <f>SUM(Foglio1!$AF27:$AQ27)*Foglio1!BL27</f>
        <v>0</v>
      </c>
      <c r="F52" s="5">
        <f>(C52+D52+E52)*$K$1</f>
        <v>0</v>
      </c>
      <c r="G52" s="5">
        <f>0.1*SUM(C52:F52,H52)</f>
        <v>0</v>
      </c>
      <c r="H52">
        <v>0</v>
      </c>
      <c r="I52" s="5">
        <f>SUM(C52:H52)</f>
        <v>0</v>
      </c>
      <c r="K52" s="38"/>
      <c r="L52" s="5">
        <f>C52+D52+$K$2*E52</f>
        <v>0</v>
      </c>
    </row>
    <row r="53" spans="2:23">
      <c r="B53" t="s">
        <v>8</v>
      </c>
      <c r="C53" s="5">
        <f>SUM(Foglio1!$AR27:$BC27)*Foglio1!BJ27</f>
        <v>0</v>
      </c>
      <c r="D53" s="5">
        <f>SUM(Foglio1!$AR27:$BC27)*Foglio1!BK27</f>
        <v>0</v>
      </c>
      <c r="E53" s="5">
        <f>SUM(Foglio1!$AR27:$BC27)*Foglio1!BL27</f>
        <v>0</v>
      </c>
      <c r="F53" s="5">
        <f>(C53+D53+E53)*$K$1</f>
        <v>0</v>
      </c>
      <c r="G53" s="5">
        <f>0.1*SUM(C53:F53,H53)</f>
        <v>0</v>
      </c>
      <c r="H53">
        <v>0</v>
      </c>
      <c r="I53" s="5">
        <f>SUM(C53:H53)</f>
        <v>0</v>
      </c>
      <c r="K53" s="38"/>
      <c r="L53" s="5">
        <f>C53+D53+$K$2*E53</f>
        <v>0</v>
      </c>
    </row>
    <row r="54" spans="2:23">
      <c r="C54" s="35">
        <f t="shared" ref="C54:I54" si="5">SUM(C50:C53)</f>
        <v>101587.5</v>
      </c>
      <c r="D54" s="35">
        <f t="shared" si="5"/>
        <v>13932</v>
      </c>
      <c r="E54" s="35">
        <f t="shared" si="5"/>
        <v>21600</v>
      </c>
      <c r="F54" s="37">
        <f t="shared" si="5"/>
        <v>16906.834350000001</v>
      </c>
      <c r="G54" s="35">
        <f t="shared" si="5"/>
        <v>15402.633435</v>
      </c>
      <c r="H54" s="35">
        <f t="shared" si="5"/>
        <v>0</v>
      </c>
      <c r="I54" s="35">
        <f t="shared" si="5"/>
        <v>169428.96778499999</v>
      </c>
    </row>
    <row r="56" spans="2:23">
      <c r="B56" s="2" t="s">
        <v>51</v>
      </c>
    </row>
    <row r="58" spans="2:23">
      <c r="C58" s="2" t="s">
        <v>23</v>
      </c>
      <c r="D58" s="2" t="s">
        <v>24</v>
      </c>
      <c r="E58" s="2" t="s">
        <v>25</v>
      </c>
      <c r="F58" s="2" t="s">
        <v>56</v>
      </c>
      <c r="G58" s="2" t="s">
        <v>57</v>
      </c>
      <c r="H58" s="2" t="s">
        <v>60</v>
      </c>
      <c r="I58" s="2" t="s">
        <v>58</v>
      </c>
      <c r="J58" s="2"/>
      <c r="L58" s="2" t="s">
        <v>66</v>
      </c>
      <c r="N58" s="2" t="s">
        <v>61</v>
      </c>
      <c r="O58" s="2" t="s">
        <v>63</v>
      </c>
      <c r="P58" s="2" t="s">
        <v>69</v>
      </c>
      <c r="Q58" s="2" t="s">
        <v>70</v>
      </c>
      <c r="R58" s="2" t="s">
        <v>71</v>
      </c>
      <c r="S58" s="2" t="s">
        <v>64</v>
      </c>
      <c r="U58" s="2" t="s">
        <v>74</v>
      </c>
      <c r="V58" s="2" t="s">
        <v>75</v>
      </c>
      <c r="W58" s="2" t="s">
        <v>77</v>
      </c>
    </row>
    <row r="59" spans="2:23">
      <c r="B59" t="s">
        <v>5</v>
      </c>
      <c r="C59" s="5">
        <f t="shared" ref="C59:F63" si="6">C5+C14+C23+C32+C41+C50</f>
        <v>202220.954375</v>
      </c>
      <c r="D59" s="5">
        <f t="shared" si="6"/>
        <v>29587.95</v>
      </c>
      <c r="E59" s="5">
        <f t="shared" si="6"/>
        <v>72000</v>
      </c>
      <c r="F59" s="5">
        <f t="shared" si="6"/>
        <v>37459.637909437501</v>
      </c>
      <c r="G59" s="5">
        <f>0.1*SUM(C59:F59,H59)</f>
        <v>34126.854228443757</v>
      </c>
      <c r="H59">
        <v>0</v>
      </c>
      <c r="I59" s="5">
        <f>SUM(C59:H59)</f>
        <v>375395.39651288133</v>
      </c>
      <c r="K59" s="38"/>
      <c r="L59" s="5">
        <f>C59+D59+$K$2*E59</f>
        <v>364483.27557499998</v>
      </c>
      <c r="N59" s="5">
        <f>L59+L60</f>
        <v>956809.13066833327</v>
      </c>
      <c r="O59" s="5">
        <f>L59+L60</f>
        <v>956809.13066833327</v>
      </c>
      <c r="P59" s="5">
        <f>I59+I60</f>
        <v>981714.445088048</v>
      </c>
      <c r="Q59" s="40">
        <f>(N59+O59)/I63</f>
        <v>1.1986931579817357</v>
      </c>
      <c r="R59" s="34">
        <f>0.85*I63-N59</f>
        <v>400148.24520829646</v>
      </c>
      <c r="S59" s="5">
        <f>L61+L62</f>
        <v>600630.30333166663</v>
      </c>
      <c r="U59" s="5">
        <f>N59-O59</f>
        <v>0</v>
      </c>
      <c r="V59" s="5">
        <f>R59-S59</f>
        <v>-200482.05812337017</v>
      </c>
      <c r="W59" s="40">
        <f>V59/I63</f>
        <v>-0.12558224188491957</v>
      </c>
    </row>
    <row r="60" spans="2:23">
      <c r="B60" t="s">
        <v>6</v>
      </c>
      <c r="C60" s="5">
        <f t="shared" si="6"/>
        <v>316829.40833333333</v>
      </c>
      <c r="D60" s="5">
        <f t="shared" si="6"/>
        <v>53266.875</v>
      </c>
      <c r="E60" s="5">
        <f t="shared" si="6"/>
        <v>120600</v>
      </c>
      <c r="F60" s="5">
        <f t="shared" si="6"/>
        <v>60502.851735000004</v>
      </c>
      <c r="G60" s="5">
        <f>0.1*SUM(C60:F60,H60)</f>
        <v>55119.913506833342</v>
      </c>
      <c r="H60">
        <v>0</v>
      </c>
      <c r="I60" s="5">
        <f>SUM(C60:H60)</f>
        <v>606319.04857516673</v>
      </c>
      <c r="K60" s="38"/>
      <c r="L60" s="5">
        <f>C60+D60+$K$2*E60</f>
        <v>592325.85509333329</v>
      </c>
    </row>
    <row r="61" spans="2:23">
      <c r="B61" t="s">
        <v>7</v>
      </c>
      <c r="C61" s="5">
        <f t="shared" si="6"/>
        <v>243956.49895833334</v>
      </c>
      <c r="D61" s="5">
        <f t="shared" si="6"/>
        <v>41796.425000000003</v>
      </c>
      <c r="E61" s="5">
        <f t="shared" si="6"/>
        <v>91800</v>
      </c>
      <c r="F61" s="5">
        <f t="shared" si="6"/>
        <v>46552.275524062505</v>
      </c>
      <c r="G61" s="5">
        <f>0.1*SUM(C61:F61,H61)</f>
        <v>42410.519948239584</v>
      </c>
      <c r="H61">
        <v>0</v>
      </c>
      <c r="I61" s="5">
        <f>SUM(C61:H61)</f>
        <v>466515.71943063545</v>
      </c>
      <c r="K61" s="38"/>
      <c r="L61" s="5">
        <f>C61+D61+$K$2*E61</f>
        <v>454912.74723833334</v>
      </c>
    </row>
    <row r="62" spans="2:23">
      <c r="B62" t="s">
        <v>8</v>
      </c>
      <c r="C62" s="5">
        <f t="shared" si="6"/>
        <v>72661.998333333337</v>
      </c>
      <c r="D62" s="5">
        <f t="shared" si="6"/>
        <v>16668.95</v>
      </c>
      <c r="E62" s="5">
        <f t="shared" si="6"/>
        <v>30600</v>
      </c>
      <c r="F62" s="5">
        <f t="shared" si="6"/>
        <v>14787.485929500001</v>
      </c>
      <c r="G62" s="5">
        <f>0.1*SUM(C62:F62,H62)</f>
        <v>13471.843426283333</v>
      </c>
      <c r="H62">
        <v>0</v>
      </c>
      <c r="I62" s="5">
        <f>SUM(C62:H62)</f>
        <v>148190.27768911666</v>
      </c>
      <c r="K62" s="38"/>
      <c r="L62" s="5">
        <f>C62+D62+$K$2*E62</f>
        <v>145717.55609333335</v>
      </c>
    </row>
    <row r="63" spans="2:23">
      <c r="C63" s="33">
        <f t="shared" si="6"/>
        <v>835668.86</v>
      </c>
      <c r="D63" s="33">
        <f t="shared" si="6"/>
        <v>141320.19999999998</v>
      </c>
      <c r="E63" s="33">
        <f t="shared" si="6"/>
        <v>315000</v>
      </c>
      <c r="F63" s="33">
        <f t="shared" si="6"/>
        <v>159302.25109800001</v>
      </c>
      <c r="G63" s="33">
        <f>G9+G18+G27+G36+G45+G54</f>
        <v>145129.13110979999</v>
      </c>
      <c r="H63" s="33">
        <f>H9+H18+H27+H36+H45+H54</f>
        <v>0</v>
      </c>
      <c r="I63" s="33">
        <f>I9+I18+I27+I36+I45+I54</f>
        <v>1596420.4422077998</v>
      </c>
    </row>
  </sheetData>
  <pageMargins left="0.7" right="0.7" top="0.75" bottom="0.75" header="0.3" footer="0.3"/>
  <ignoredErrors>
    <ignoredError sqref="C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:F11"/>
  <sheetViews>
    <sheetView topLeftCell="B1" zoomScale="120" zoomScaleNormal="120" workbookViewId="0">
      <selection activeCell="D8" sqref="D8"/>
    </sheetView>
  </sheetViews>
  <sheetFormatPr defaultRowHeight="15"/>
  <cols>
    <col min="3" max="3" width="35.140625" customWidth="1"/>
    <col min="4" max="4" width="40.140625" customWidth="1"/>
    <col min="5" max="5" width="2.5703125" customWidth="1"/>
    <col min="6" max="6" width="14.140625" bestFit="1" customWidth="1"/>
  </cols>
  <sheetData>
    <row r="2" spans="2:6" ht="20.25" customHeight="1">
      <c r="C2" s="50" t="s">
        <v>78</v>
      </c>
      <c r="D2" s="50" t="s">
        <v>79</v>
      </c>
    </row>
    <row r="3" spans="2:6" ht="21" customHeight="1">
      <c r="C3" s="50"/>
      <c r="D3" s="50"/>
      <c r="F3" s="42" t="s">
        <v>72</v>
      </c>
    </row>
    <row r="4" spans="2:6" ht="21">
      <c r="B4" s="41" t="s">
        <v>11</v>
      </c>
      <c r="C4" s="49">
        <f>0.6*Foglio2!I9</f>
        <v>279598.65047994</v>
      </c>
      <c r="D4" s="34">
        <f>Foglio2!N5</f>
        <v>194411.57488</v>
      </c>
      <c r="F4" s="43">
        <f t="shared" ref="F4:F9" si="0">(D4-C4)/C4</f>
        <v>-0.30467627598957886</v>
      </c>
    </row>
    <row r="5" spans="2:6" ht="21">
      <c r="B5" s="41" t="s">
        <v>10</v>
      </c>
      <c r="C5" s="34">
        <f>0.6*Foglio2!I18</f>
        <v>240075.81895505998</v>
      </c>
      <c r="D5" s="34">
        <f>Foglio2!N14</f>
        <v>279272.45917499997</v>
      </c>
      <c r="F5" s="43">
        <f t="shared" si="0"/>
        <v>0.1632677559553686</v>
      </c>
    </row>
    <row r="6" spans="2:6" ht="21">
      <c r="B6" s="41" t="s">
        <v>13</v>
      </c>
      <c r="C6" s="34">
        <f>0.6*Foglio2!I27</f>
        <v>112410.66821687999</v>
      </c>
      <c r="D6" s="34">
        <f>Foglio2!N23</f>
        <v>80433.206853333337</v>
      </c>
      <c r="F6" s="43">
        <f t="shared" si="0"/>
        <v>-0.28446998733119178</v>
      </c>
    </row>
    <row r="7" spans="2:6" ht="21">
      <c r="B7" s="41" t="s">
        <v>12</v>
      </c>
      <c r="C7" s="34">
        <f>0.6*Foglio2!I36</f>
        <v>158425.50964680003</v>
      </c>
      <c r="D7" s="34">
        <f>Foglio2!N32</f>
        <v>137536.54848</v>
      </c>
      <c r="F7" s="43">
        <f t="shared" si="0"/>
        <v>-0.1318535203918276</v>
      </c>
    </row>
    <row r="8" spans="2:6" ht="21">
      <c r="B8" s="41" t="s">
        <v>9</v>
      </c>
      <c r="C8" s="34">
        <f>0.6*Foglio2!I45</f>
        <v>65684.237355000005</v>
      </c>
      <c r="D8" s="34">
        <f>Foglio2!N41</f>
        <v>109833.52992</v>
      </c>
      <c r="F8" s="43">
        <f t="shared" si="0"/>
        <v>0.67214440393649899</v>
      </c>
    </row>
    <row r="9" spans="2:6" ht="21">
      <c r="B9" s="41" t="s">
        <v>14</v>
      </c>
      <c r="C9" s="34">
        <f>0.6*Foglio2!I54</f>
        <v>101657.38067099999</v>
      </c>
      <c r="D9" s="34">
        <f>Foglio2!N50</f>
        <v>155321.81135999999</v>
      </c>
      <c r="F9" s="43">
        <f t="shared" si="0"/>
        <v>0.52789507593823892</v>
      </c>
    </row>
    <row r="10" spans="2:6">
      <c r="F10" s="1"/>
    </row>
    <row r="11" spans="2:6" ht="21">
      <c r="B11" s="41" t="s">
        <v>73</v>
      </c>
      <c r="C11" s="39">
        <f>SUM(C4:C9)</f>
        <v>957852.2653246799</v>
      </c>
      <c r="D11" s="39">
        <f>SUM(D4:D9)</f>
        <v>956809.13066833327</v>
      </c>
      <c r="F11" s="48">
        <f>(D11-C11)/C11</f>
        <v>-1.0890350152202731E-3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13"/>
  <sheetViews>
    <sheetView workbookViewId="0">
      <selection activeCell="H8" sqref="H8"/>
    </sheetView>
  </sheetViews>
  <sheetFormatPr defaultRowHeight="15"/>
  <cols>
    <col min="1" max="1" width="20.42578125" customWidth="1"/>
    <col min="2" max="2" width="35.140625" customWidth="1"/>
    <col min="3" max="3" width="40.140625" customWidth="1"/>
    <col min="4" max="4" width="2.5703125" customWidth="1"/>
    <col min="5" max="5" width="14.140625" bestFit="1" customWidth="1"/>
  </cols>
  <sheetData>
    <row r="2" spans="1:5" ht="23.25" customHeight="1">
      <c r="B2" s="50" t="s">
        <v>78</v>
      </c>
      <c r="C2" s="56" t="s">
        <v>79</v>
      </c>
    </row>
    <row r="3" spans="1:5" ht="18.75">
      <c r="B3" s="50"/>
      <c r="C3" s="56"/>
      <c r="E3" s="59" t="s">
        <v>72</v>
      </c>
    </row>
    <row r="4" spans="1:5" ht="23.25">
      <c r="A4" s="41" t="s">
        <v>11</v>
      </c>
      <c r="B4" s="55">
        <v>279598.87800000003</v>
      </c>
      <c r="C4" s="63">
        <v>194411.57488</v>
      </c>
      <c r="E4" s="60">
        <f t="shared" ref="E4:E9" si="0">(C4-B4)/B4</f>
        <v>-0.30467684180048826</v>
      </c>
    </row>
    <row r="5" spans="1:5" ht="23.25">
      <c r="A5" s="41" t="s">
        <v>10</v>
      </c>
      <c r="B5" s="52">
        <v>239147.42400000006</v>
      </c>
      <c r="C5" s="63">
        <v>279272.45917499997</v>
      </c>
      <c r="E5" s="60">
        <f t="shared" si="0"/>
        <v>0.16778368131199231</v>
      </c>
    </row>
    <row r="6" spans="1:5" ht="23.25">
      <c r="A6" s="41" t="s">
        <v>13</v>
      </c>
      <c r="B6" s="55">
        <v>112347.82200000001</v>
      </c>
      <c r="C6" s="63">
        <v>80433.206853333337</v>
      </c>
      <c r="E6" s="60">
        <f t="shared" si="0"/>
        <v>-0.28406972719655105</v>
      </c>
    </row>
    <row r="7" spans="1:5" ht="23.25">
      <c r="A7" s="41" t="s">
        <v>12</v>
      </c>
      <c r="B7" s="52">
        <v>158393.796</v>
      </c>
      <c r="C7" s="63">
        <v>137536.54848</v>
      </c>
      <c r="E7" s="60">
        <f t="shared" si="0"/>
        <v>-0.13167969987915437</v>
      </c>
    </row>
    <row r="8" spans="1:5" ht="23.25">
      <c r="A8" s="41" t="s">
        <v>80</v>
      </c>
      <c r="B8" s="55">
        <v>65668.350000000006</v>
      </c>
      <c r="C8" s="63">
        <v>109833.52992</v>
      </c>
      <c r="E8" s="60">
        <f t="shared" si="0"/>
        <v>0.67254895120708824</v>
      </c>
    </row>
    <row r="9" spans="1:5" ht="23.25">
      <c r="A9" s="41" t="s">
        <v>14</v>
      </c>
      <c r="B9" s="52">
        <v>101652.87000000002</v>
      </c>
      <c r="C9" s="63">
        <v>155321.81135999999</v>
      </c>
      <c r="E9" s="60">
        <f t="shared" si="0"/>
        <v>0.52796287365029593</v>
      </c>
    </row>
    <row r="10" spans="1:5" ht="23.25">
      <c r="B10" s="53"/>
      <c r="C10" s="64"/>
      <c r="E10" s="61"/>
    </row>
    <row r="11" spans="1:5" ht="23.25">
      <c r="A11" s="41" t="s">
        <v>73</v>
      </c>
      <c r="B11" s="54">
        <f>SUM(B4:B9)</f>
        <v>956809.14</v>
      </c>
      <c r="C11" s="65">
        <v>956809.13066833327</v>
      </c>
      <c r="E11" s="62">
        <f>(C11-B11)/B11</f>
        <v>-9.752903016833038E-9</v>
      </c>
    </row>
    <row r="12" spans="1:5">
      <c r="C12" s="57"/>
    </row>
    <row r="13" spans="1:5" ht="18.75">
      <c r="A13" s="51" t="s">
        <v>81</v>
      </c>
      <c r="C13" s="58">
        <v>0.01</v>
      </c>
    </row>
  </sheetData>
  <mergeCells count="2"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2013-03-13T15:40:58Z</dcterms:modified>
</cp:coreProperties>
</file>