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3680" yWindow="2700" windowWidth="25600" windowHeight="16060" tabRatio="500"/>
    <workbookView xWindow="11460" yWindow="0" windowWidth="25360" windowHeight="15820" tabRatio="500"/>
  </bookViews>
  <sheets>
    <sheet name="BaBar" sheetId="1" r:id="rId1"/>
    <sheet name="SBParams" sheetId="4" r:id="rId2"/>
    <sheet name="SBPerf" sheetId="3" r:id="rId3"/>
    <sheet name="Industry" sheetId="2" r:id="rId4"/>
    <sheet name="SBEstimates" sheetId="6" r:id="rId5"/>
  </sheets>
  <calcPr calcId="140000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4" l="1"/>
  <c r="F14" i="6"/>
  <c r="F29" i="6"/>
  <c r="E11" i="4"/>
  <c r="E14" i="6"/>
  <c r="E29" i="6"/>
  <c r="E52" i="6"/>
  <c r="D24" i="4"/>
  <c r="D35" i="6"/>
  <c r="E39" i="6"/>
  <c r="E24" i="4"/>
  <c r="E35" i="6"/>
  <c r="F39" i="6"/>
  <c r="F24" i="4"/>
  <c r="F35" i="6"/>
  <c r="D25" i="4"/>
  <c r="D36" i="6"/>
  <c r="E40" i="6"/>
  <c r="E25" i="4"/>
  <c r="E36" i="6"/>
  <c r="F40" i="6"/>
  <c r="F25" i="4"/>
  <c r="F36" i="6"/>
  <c r="F44" i="6"/>
  <c r="E44" i="6"/>
  <c r="E53" i="6"/>
  <c r="E59" i="6"/>
  <c r="G11" i="4"/>
  <c r="G14" i="6"/>
  <c r="G29" i="6"/>
  <c r="F52" i="6"/>
  <c r="G39" i="6"/>
  <c r="G24" i="4"/>
  <c r="G35" i="6"/>
  <c r="G40" i="6"/>
  <c r="G25" i="4"/>
  <c r="G36" i="6"/>
  <c r="G44" i="6"/>
  <c r="F53" i="6"/>
  <c r="F59" i="6"/>
  <c r="H11" i="4"/>
  <c r="H14" i="6"/>
  <c r="H29" i="6"/>
  <c r="G52" i="6"/>
  <c r="H39" i="6"/>
  <c r="H24" i="4"/>
  <c r="H35" i="6"/>
  <c r="H40" i="6"/>
  <c r="H25" i="4"/>
  <c r="H36" i="6"/>
  <c r="H44" i="6"/>
  <c r="G53" i="6"/>
  <c r="D44" i="6"/>
  <c r="G57" i="6"/>
  <c r="G59" i="6"/>
  <c r="I11" i="4"/>
  <c r="I14" i="6"/>
  <c r="I29" i="6"/>
  <c r="H52" i="6"/>
  <c r="I39" i="6"/>
  <c r="I24" i="4"/>
  <c r="I35" i="6"/>
  <c r="I40" i="6"/>
  <c r="I25" i="4"/>
  <c r="I36" i="6"/>
  <c r="I44" i="6"/>
  <c r="H53" i="6"/>
  <c r="H57" i="6"/>
  <c r="H59" i="6"/>
  <c r="J11" i="4"/>
  <c r="J14" i="6"/>
  <c r="J29" i="6"/>
  <c r="I52" i="6"/>
  <c r="J39" i="6"/>
  <c r="J24" i="4"/>
  <c r="J35" i="6"/>
  <c r="J40" i="6"/>
  <c r="J25" i="4"/>
  <c r="J36" i="6"/>
  <c r="J44" i="6"/>
  <c r="I53" i="6"/>
  <c r="I57" i="6"/>
  <c r="I59" i="6"/>
  <c r="K11" i="4"/>
  <c r="K14" i="6"/>
  <c r="K29" i="6"/>
  <c r="J52" i="6"/>
  <c r="K39" i="6"/>
  <c r="K24" i="4"/>
  <c r="K35" i="6"/>
  <c r="K40" i="6"/>
  <c r="K25" i="4"/>
  <c r="K36" i="6"/>
  <c r="K44" i="6"/>
  <c r="J53" i="6"/>
  <c r="J57" i="6"/>
  <c r="J59" i="6"/>
  <c r="D11" i="4"/>
  <c r="D14" i="6"/>
  <c r="D29" i="6"/>
  <c r="D52" i="6"/>
  <c r="D53" i="6"/>
  <c r="D59" i="6"/>
  <c r="D12" i="4"/>
  <c r="D15" i="6"/>
  <c r="D14" i="4"/>
  <c r="D19" i="6"/>
  <c r="D13" i="4"/>
  <c r="D15" i="4"/>
  <c r="D21" i="6"/>
  <c r="D16" i="6"/>
  <c r="D17" i="6"/>
  <c r="D18" i="6"/>
  <c r="D20" i="6"/>
  <c r="D27" i="6"/>
  <c r="D28" i="6"/>
  <c r="E12" i="4"/>
  <c r="E15" i="6"/>
  <c r="E14" i="4"/>
  <c r="E19" i="6"/>
  <c r="E13" i="4"/>
  <c r="E15" i="4"/>
  <c r="E21" i="6"/>
  <c r="E16" i="6"/>
  <c r="E17" i="6"/>
  <c r="E18" i="6"/>
  <c r="E20" i="6"/>
  <c r="E27" i="6"/>
  <c r="E28" i="6"/>
  <c r="D51" i="6"/>
  <c r="E22" i="6"/>
  <c r="B19" i="1"/>
  <c r="E22" i="4"/>
  <c r="E33" i="6"/>
  <c r="B20" i="1"/>
  <c r="E23" i="4"/>
  <c r="E34" i="6"/>
  <c r="B21" i="1"/>
  <c r="B22" i="1"/>
  <c r="B23" i="1"/>
  <c r="E26" i="4"/>
  <c r="E37" i="6"/>
  <c r="B24" i="1"/>
  <c r="E27" i="4"/>
  <c r="E38" i="6"/>
  <c r="D26" i="4"/>
  <c r="D37" i="6"/>
  <c r="E41" i="6"/>
  <c r="D27" i="4"/>
  <c r="D38" i="6"/>
  <c r="E42" i="6"/>
  <c r="D22" i="4"/>
  <c r="D33" i="6"/>
  <c r="D23" i="4"/>
  <c r="D34" i="6"/>
  <c r="F12" i="4"/>
  <c r="F15" i="6"/>
  <c r="F22" i="6"/>
  <c r="F13" i="4"/>
  <c r="F16" i="6"/>
  <c r="F14" i="4"/>
  <c r="F17" i="6"/>
  <c r="F15" i="4"/>
  <c r="F18" i="6"/>
  <c r="F20" i="6"/>
  <c r="F19" i="6"/>
  <c r="F21" i="6"/>
  <c r="F27" i="6"/>
  <c r="F28" i="6"/>
  <c r="E51" i="6"/>
  <c r="F22" i="4"/>
  <c r="F33" i="6"/>
  <c r="F23" i="4"/>
  <c r="F34" i="6"/>
  <c r="F26" i="4"/>
  <c r="F37" i="6"/>
  <c r="F27" i="4"/>
  <c r="F38" i="6"/>
  <c r="F41" i="6"/>
  <c r="F42" i="6"/>
  <c r="G55" i="6"/>
  <c r="H12" i="4"/>
  <c r="H15" i="6"/>
  <c r="H14" i="4"/>
  <c r="H19" i="6"/>
  <c r="H13" i="4"/>
  <c r="H15" i="4"/>
  <c r="H21" i="6"/>
  <c r="H16" i="6"/>
  <c r="H17" i="6"/>
  <c r="H18" i="6"/>
  <c r="H20" i="6"/>
  <c r="H27" i="6"/>
  <c r="H28" i="6"/>
  <c r="G12" i="4"/>
  <c r="G15" i="6"/>
  <c r="G14" i="4"/>
  <c r="G19" i="6"/>
  <c r="G13" i="4"/>
  <c r="G15" i="4"/>
  <c r="G21" i="6"/>
  <c r="G16" i="6"/>
  <c r="G17" i="6"/>
  <c r="G18" i="6"/>
  <c r="G20" i="6"/>
  <c r="G27" i="6"/>
  <c r="G28" i="6"/>
  <c r="G51" i="6"/>
  <c r="H22" i="6"/>
  <c r="G22" i="6"/>
  <c r="H22" i="4"/>
  <c r="H33" i="6"/>
  <c r="H23" i="4"/>
  <c r="H34" i="6"/>
  <c r="H26" i="4"/>
  <c r="H37" i="6"/>
  <c r="H27" i="4"/>
  <c r="H38" i="6"/>
  <c r="G26" i="4"/>
  <c r="G37" i="6"/>
  <c r="G41" i="6"/>
  <c r="H41" i="6"/>
  <c r="G27" i="4"/>
  <c r="G38" i="6"/>
  <c r="G42" i="6"/>
  <c r="H42" i="6"/>
  <c r="G22" i="4"/>
  <c r="G33" i="6"/>
  <c r="G23" i="4"/>
  <c r="G34" i="6"/>
  <c r="F51" i="6"/>
  <c r="I12" i="4"/>
  <c r="I15" i="6"/>
  <c r="I14" i="4"/>
  <c r="I19" i="6"/>
  <c r="I13" i="4"/>
  <c r="I15" i="4"/>
  <c r="I21" i="6"/>
  <c r="I16" i="6"/>
  <c r="I17" i="6"/>
  <c r="I18" i="6"/>
  <c r="I20" i="6"/>
  <c r="I27" i="6"/>
  <c r="I28" i="6"/>
  <c r="H51" i="6"/>
  <c r="I22" i="6"/>
  <c r="H55" i="6"/>
  <c r="I22" i="4"/>
  <c r="I33" i="6"/>
  <c r="I23" i="4"/>
  <c r="I34" i="6"/>
  <c r="I26" i="4"/>
  <c r="I37" i="6"/>
  <c r="I27" i="4"/>
  <c r="I38" i="6"/>
  <c r="I41" i="6"/>
  <c r="I42" i="6"/>
  <c r="J12" i="4"/>
  <c r="J15" i="6"/>
  <c r="J14" i="4"/>
  <c r="J19" i="6"/>
  <c r="J13" i="4"/>
  <c r="J15" i="4"/>
  <c r="J21" i="6"/>
  <c r="J16" i="6"/>
  <c r="J17" i="6"/>
  <c r="J18" i="6"/>
  <c r="J20" i="6"/>
  <c r="J27" i="6"/>
  <c r="J28" i="6"/>
  <c r="I51" i="6"/>
  <c r="J22" i="6"/>
  <c r="I55" i="6"/>
  <c r="J22" i="4"/>
  <c r="J33" i="6"/>
  <c r="J23" i="4"/>
  <c r="J34" i="6"/>
  <c r="J26" i="4"/>
  <c r="J37" i="6"/>
  <c r="J27" i="4"/>
  <c r="J38" i="6"/>
  <c r="J41" i="6"/>
  <c r="J42" i="6"/>
  <c r="K12" i="4"/>
  <c r="K15" i="6"/>
  <c r="K14" i="4"/>
  <c r="K19" i="6"/>
  <c r="K13" i="4"/>
  <c r="K15" i="4"/>
  <c r="K21" i="6"/>
  <c r="K16" i="6"/>
  <c r="K17" i="6"/>
  <c r="K18" i="6"/>
  <c r="K20" i="6"/>
  <c r="K27" i="6"/>
  <c r="K28" i="6"/>
  <c r="J51" i="6"/>
  <c r="K22" i="6"/>
  <c r="J55" i="6"/>
  <c r="K22" i="4"/>
  <c r="K33" i="6"/>
  <c r="K23" i="4"/>
  <c r="K34" i="6"/>
  <c r="K26" i="4"/>
  <c r="K37" i="6"/>
  <c r="K27" i="4"/>
  <c r="K38" i="6"/>
  <c r="K41" i="6"/>
  <c r="K42" i="6"/>
  <c r="N59" i="6"/>
  <c r="E4" i="6"/>
  <c r="E50" i="6"/>
  <c r="F4" i="6"/>
  <c r="F50" i="6"/>
  <c r="G4" i="6"/>
  <c r="G50" i="6"/>
  <c r="H4" i="6"/>
  <c r="H50" i="6"/>
  <c r="I4" i="6"/>
  <c r="I50" i="6"/>
  <c r="J4" i="6"/>
  <c r="J50" i="6"/>
  <c r="K4" i="6"/>
  <c r="K50" i="6"/>
  <c r="D4" i="6"/>
  <c r="D50" i="6"/>
  <c r="D10" i="6"/>
  <c r="D9" i="6"/>
  <c r="D71" i="6"/>
  <c r="E10" i="6"/>
  <c r="E9" i="6"/>
  <c r="E71" i="6"/>
  <c r="F10" i="6"/>
  <c r="F9" i="6"/>
  <c r="F71" i="6"/>
  <c r="G10" i="6"/>
  <c r="G9" i="6"/>
  <c r="G71" i="6"/>
  <c r="H10" i="6"/>
  <c r="H9" i="6"/>
  <c r="H71" i="6"/>
  <c r="I10" i="6"/>
  <c r="I9" i="6"/>
  <c r="I71" i="6"/>
  <c r="J10" i="6"/>
  <c r="J9" i="6"/>
  <c r="J71" i="6"/>
  <c r="K10" i="6"/>
  <c r="K9" i="6"/>
  <c r="K71" i="6"/>
  <c r="E72" i="6"/>
  <c r="F72" i="6"/>
  <c r="G72" i="6"/>
  <c r="H72" i="6"/>
  <c r="I72" i="6"/>
  <c r="J72" i="6"/>
  <c r="K72" i="6"/>
  <c r="E8" i="6"/>
  <c r="D8" i="6"/>
  <c r="E73" i="6"/>
  <c r="F8" i="6"/>
  <c r="F73" i="6"/>
  <c r="G8" i="6"/>
  <c r="G73" i="6"/>
  <c r="H8" i="6"/>
  <c r="H73" i="6"/>
  <c r="I8" i="6"/>
  <c r="I73" i="6"/>
  <c r="J8" i="6"/>
  <c r="J73" i="6"/>
  <c r="K8" i="6"/>
  <c r="K73" i="6"/>
  <c r="N56" i="6"/>
  <c r="N55" i="6"/>
  <c r="N53" i="6"/>
  <c r="N52" i="6"/>
  <c r="N51" i="6"/>
  <c r="F64" i="6"/>
  <c r="F65" i="6"/>
  <c r="F66" i="6"/>
  <c r="F67" i="6"/>
  <c r="G64" i="6"/>
  <c r="G65" i="6"/>
  <c r="G66" i="6"/>
  <c r="G67" i="6"/>
  <c r="H64" i="6"/>
  <c r="H65" i="6"/>
  <c r="H66" i="6"/>
  <c r="H67" i="6"/>
  <c r="I64" i="6"/>
  <c r="I65" i="6"/>
  <c r="I66" i="6"/>
  <c r="I67" i="6"/>
  <c r="J64" i="6"/>
  <c r="J65" i="6"/>
  <c r="J66" i="6"/>
  <c r="J67" i="6"/>
  <c r="K64" i="6"/>
  <c r="K65" i="6"/>
  <c r="K66" i="6"/>
  <c r="K67" i="6"/>
  <c r="E64" i="6"/>
  <c r="E65" i="6"/>
  <c r="E66" i="6"/>
  <c r="E67" i="6"/>
  <c r="F13" i="6"/>
  <c r="F32" i="6"/>
  <c r="G13" i="6"/>
  <c r="G32" i="6"/>
  <c r="H13" i="6"/>
  <c r="H32" i="6"/>
  <c r="I13" i="6"/>
  <c r="I32" i="6"/>
  <c r="J13" i="6"/>
  <c r="J32" i="6"/>
  <c r="K13" i="6"/>
  <c r="K32" i="6"/>
  <c r="E13" i="6"/>
  <c r="E32" i="6"/>
  <c r="D66" i="6"/>
  <c r="D65" i="6"/>
  <c r="D64" i="6"/>
  <c r="E23" i="6"/>
  <c r="E26" i="6"/>
  <c r="F23" i="6"/>
  <c r="F24" i="6"/>
  <c r="F26" i="6"/>
  <c r="G24" i="6"/>
  <c r="G23" i="6"/>
  <c r="G26" i="6"/>
  <c r="H23" i="6"/>
  <c r="H24" i="6"/>
  <c r="H26" i="6"/>
  <c r="I23" i="6"/>
  <c r="I24" i="6"/>
  <c r="I26" i="6"/>
  <c r="J23" i="6"/>
  <c r="J24" i="6"/>
  <c r="J26" i="6"/>
  <c r="K23" i="6"/>
  <c r="K24" i="6"/>
  <c r="K26" i="6"/>
  <c r="D26" i="6"/>
  <c r="K16" i="4"/>
  <c r="K17" i="4"/>
  <c r="K18" i="4"/>
  <c r="K19" i="4"/>
  <c r="K20" i="4"/>
  <c r="K21" i="4"/>
  <c r="K6" i="1"/>
  <c r="K6" i="4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B14" i="2"/>
  <c r="D16" i="4"/>
  <c r="E16" i="4"/>
  <c r="F16" i="4"/>
  <c r="G16" i="4"/>
  <c r="H16" i="4"/>
  <c r="I16" i="4"/>
  <c r="J16" i="4"/>
  <c r="D17" i="4"/>
  <c r="E17" i="4"/>
  <c r="F17" i="4"/>
  <c r="G17" i="4"/>
  <c r="H17" i="4"/>
  <c r="I17" i="4"/>
  <c r="J17" i="4"/>
  <c r="D18" i="4"/>
  <c r="E18" i="4"/>
  <c r="F18" i="4"/>
  <c r="G18" i="4"/>
  <c r="H18" i="4"/>
  <c r="I18" i="4"/>
  <c r="J18" i="4"/>
  <c r="D19" i="4"/>
  <c r="E19" i="4"/>
  <c r="F19" i="4"/>
  <c r="G19" i="4"/>
  <c r="H19" i="4"/>
  <c r="I19" i="4"/>
  <c r="J19" i="4"/>
  <c r="D20" i="4"/>
  <c r="E20" i="4"/>
  <c r="F20" i="4"/>
  <c r="G20" i="4"/>
  <c r="H20" i="4"/>
  <c r="I20" i="4"/>
  <c r="J20" i="4"/>
  <c r="D21" i="4"/>
  <c r="E21" i="4"/>
  <c r="F21" i="4"/>
  <c r="G21" i="4"/>
  <c r="H21" i="4"/>
  <c r="I21" i="4"/>
  <c r="J21" i="4"/>
  <c r="E6" i="1"/>
  <c r="F6" i="1"/>
  <c r="G6" i="1"/>
  <c r="H6" i="1"/>
  <c r="I6" i="1"/>
  <c r="J6" i="1"/>
  <c r="D6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8" i="1"/>
  <c r="J6" i="3"/>
  <c r="J6" i="4"/>
  <c r="E6" i="3"/>
  <c r="E6" i="4"/>
  <c r="F6" i="3"/>
  <c r="F6" i="4"/>
  <c r="G6" i="3"/>
  <c r="G6" i="4"/>
  <c r="H6" i="3"/>
  <c r="H6" i="4"/>
  <c r="I6" i="3"/>
  <c r="I6" i="4"/>
  <c r="D6" i="3"/>
  <c r="D6" i="4"/>
  <c r="K6" i="3"/>
  <c r="D14" i="3"/>
  <c r="D15" i="3"/>
  <c r="G14" i="3"/>
  <c r="H13" i="3"/>
  <c r="H14" i="3"/>
  <c r="I13" i="3"/>
  <c r="I14" i="3"/>
  <c r="J13" i="3"/>
  <c r="J14" i="3"/>
  <c r="K13" i="3"/>
  <c r="K14" i="3"/>
  <c r="F14" i="3"/>
  <c r="E14" i="3"/>
  <c r="E15" i="3"/>
  <c r="F15" i="3"/>
  <c r="G15" i="3"/>
  <c r="H15" i="3"/>
  <c r="I15" i="3"/>
  <c r="J15" i="3"/>
  <c r="K15" i="3"/>
  <c r="E13" i="2"/>
  <c r="F13" i="2"/>
  <c r="G13" i="2"/>
  <c r="H13" i="2"/>
  <c r="I13" i="2"/>
  <c r="J13" i="2"/>
  <c r="K13" i="2"/>
  <c r="L13" i="2"/>
  <c r="M13" i="2"/>
  <c r="N13" i="2"/>
  <c r="O13" i="2"/>
  <c r="E12" i="2"/>
  <c r="F12" i="2"/>
  <c r="G12" i="2"/>
  <c r="H12" i="2"/>
  <c r="I12" i="2"/>
  <c r="J12" i="2"/>
  <c r="K12" i="2"/>
  <c r="L12" i="2"/>
  <c r="M12" i="2"/>
  <c r="N12" i="2"/>
  <c r="O12" i="2"/>
</calcChain>
</file>

<file path=xl/sharedStrings.xml><?xml version="1.0" encoding="utf-8"?>
<sst xmlns="http://schemas.openxmlformats.org/spreadsheetml/2006/main" count="123" uniqueCount="107">
  <si>
    <t>MC sample: 1 x cross section</t>
  </si>
  <si>
    <t>Year</t>
  </si>
  <si>
    <t>Size of Raw Data(TB/ab-1)</t>
  </si>
  <si>
    <t>Micro Data Size(TB/ab-1)</t>
  </si>
  <si>
    <t>Mini Data Size(TB/ab-1)</t>
  </si>
  <si>
    <t>Micro MonteCarlo Size(TB/ab-1)</t>
  </si>
  <si>
    <t>Mini MonteCarlo Size(TB/ab-1)</t>
  </si>
  <si>
    <t>Copies  of Raw Data</t>
  </si>
  <si>
    <t>Copies of micro</t>
  </si>
  <si>
    <t>Copies of mini</t>
  </si>
  <si>
    <t>Copies of MonteCarlo micro</t>
  </si>
  <si>
    <t>Copies of MonteCarlo mini</t>
  </si>
  <si>
    <t>Skim Expansion Factor</t>
  </si>
  <si>
    <t>User data to micro ratio</t>
  </si>
  <si>
    <t>Production buffer to micro+mini+... ratio</t>
  </si>
  <si>
    <t>Copies of skims</t>
  </si>
  <si>
    <t>Fraction of Micro Data on Disk</t>
  </si>
  <si>
    <t>Fraction of Mini Data on Disk</t>
  </si>
  <si>
    <t>Fraction of Micro MonteCarlo on Disk</t>
  </si>
  <si>
    <t>Fraction of Mini MonteCarlo on Disk</t>
  </si>
  <si>
    <t>Fraction of Skims on Disk</t>
  </si>
  <si>
    <t>Technical reserve</t>
  </si>
  <si>
    <t>CPU: Data Reconstruction (KSpecInt2000/10^36 cm^2sec^-1)</t>
  </si>
  <si>
    <t>CPU: MonteCarlo Production (KSpecInt2000/10^36 cm^2sec^-1)</t>
  </si>
  <si>
    <t>CPU: Skimming of Data (KSpecInt2000/10^36 cm^2sec^-1)</t>
  </si>
  <si>
    <t>CPU: Skimming of MonteCarlo(KSpecInt2000/10^36 cm^2sec^-1)</t>
  </si>
  <si>
    <t>CPU: Data Reconstruction (KHepSpec/10^36 cm^2sec^-1)</t>
  </si>
  <si>
    <t>CPU: MonteCarlo Production (KHepSpec/10^36 cm^2sec^-1)</t>
  </si>
  <si>
    <t>CPU: Skimming of Data (KHepSpec/10^36 cm^2sec^-1)</t>
  </si>
  <si>
    <t>CPU: Skimming of MonteCarlo(KHepSpec/10^36 cm^2sec^-1)</t>
  </si>
  <si>
    <t>Duration of reprocessing (month)</t>
  </si>
  <si>
    <t>Duration of reskimming (month)</t>
  </si>
  <si>
    <t>SuperB Parameters</t>
  </si>
  <si>
    <t>Computing Industry Assumptions</t>
  </si>
  <si>
    <t>Tape size (TB)</t>
  </si>
  <si>
    <t>Tapes per Silo</t>
  </si>
  <si>
    <t>Tapes/tape drive</t>
  </si>
  <si>
    <t>HepSpec conversion factor (1 KSi2K in KHepSpec)</t>
  </si>
  <si>
    <t>Luminosity (ist.:pb-1/s, int.: ab-1)</t>
  </si>
  <si>
    <t>Peak</t>
  </si>
  <si>
    <t>Integrated</t>
  </si>
  <si>
    <t>Per year</t>
  </si>
  <si>
    <t>Year (relative)</t>
  </si>
  <si>
    <t>SuperB Machine Performance</t>
  </si>
  <si>
    <t>Running days per month</t>
  </si>
  <si>
    <t>Running months per year</t>
  </si>
  <si>
    <t>Machine/Detector Uptime</t>
  </si>
  <si>
    <t>CPU: Phys. Analysis of data (KSpecInt2000/ab-1)</t>
  </si>
  <si>
    <t>CPU: Phys. Analysis of MonteCarlo (KSpecInt2000/ab-1)</t>
  </si>
  <si>
    <t>CPU: Phys. Analysis of data (KHepSpec/ab-1)</t>
  </si>
  <si>
    <t>CPU: Phys. Analysis of MonteCarlo (KHepSpec/ab-1)</t>
  </si>
  <si>
    <t>Start of Data Taking (year 0)</t>
  </si>
  <si>
    <t>Cost of a tape (kEuro)</t>
  </si>
  <si>
    <t>Cost of disk (kEuro/TB)</t>
  </si>
  <si>
    <t>Cost of CPU (kEuro/KHepSpec)</t>
  </si>
  <si>
    <t>Cost of CPU (kEuro/KSpecInt2K)</t>
  </si>
  <si>
    <t>Cost of a tape Silo (kEuro)</t>
  </si>
  <si>
    <t>Cost of a tape drive (kEuro)</t>
  </si>
  <si>
    <t>BaBar Baseline and Scaling to SuperB</t>
  </si>
  <si>
    <t>Scaling factors from BaBar to SuperB</t>
  </si>
  <si>
    <t>SuperB Estimates</t>
  </si>
  <si>
    <t>Luminosity</t>
  </si>
  <si>
    <t>User Data</t>
  </si>
  <si>
    <t>Production Buffer</t>
  </si>
  <si>
    <t>A reskimming cycle (data and MC)</t>
  </si>
  <si>
    <t>Event Store Buffer (50% of n-2 reprocessing cycle)</t>
  </si>
  <si>
    <t>Storage (TB)</t>
  </si>
  <si>
    <t>Skims (Data and MC, 1 year))</t>
  </si>
  <si>
    <t>Raw Data (integrated)</t>
  </si>
  <si>
    <t>Micro Data (integrated)</t>
  </si>
  <si>
    <t>MiniData (integrated)</t>
  </si>
  <si>
    <t>Micro MC (integrated)</t>
  </si>
  <si>
    <t>Mini MC (integrated)</t>
  </si>
  <si>
    <t xml:space="preserve">One reprocessing cycle of micro&amp;mini (data and MC) </t>
  </si>
  <si>
    <t>MonteCarlo/Data Lumi Ratio</t>
  </si>
  <si>
    <t>Storage Total</t>
  </si>
  <si>
    <t>Disk Storage (net)</t>
  </si>
  <si>
    <t>Disk Storage Total (including technical reserve)</t>
  </si>
  <si>
    <t>Tape Storage Total</t>
  </si>
  <si>
    <t>CPU</t>
  </si>
  <si>
    <t>Physics Analysis of data</t>
  </si>
  <si>
    <t>Physics Analysis of MC</t>
  </si>
  <si>
    <t>Skimming of Data</t>
  </si>
  <si>
    <t>Skimming of MC</t>
  </si>
  <si>
    <t>Reprocessing of beam data (previous years)</t>
  </si>
  <si>
    <t>Regeneration of MC (Previous years)</t>
  </si>
  <si>
    <t>Reskimming of reprocessed data</t>
  </si>
  <si>
    <t>Reskimming of reprocessed MC</t>
  </si>
  <si>
    <t xml:space="preserve">Beam data reconstruction </t>
  </si>
  <si>
    <t xml:space="preserve">MonteCarlo generation and processing </t>
  </si>
  <si>
    <t>CPU Total</t>
  </si>
  <si>
    <t>CPU (kHEPSpec)</t>
  </si>
  <si>
    <t>Disk</t>
  </si>
  <si>
    <t>Tape Media</t>
  </si>
  <si>
    <t>Total</t>
  </si>
  <si>
    <t>Value  in 2011 kEuro</t>
  </si>
  <si>
    <t>Value (kEuro)  -- Year</t>
  </si>
  <si>
    <t>Tape</t>
  </si>
  <si>
    <t>Total:</t>
  </si>
  <si>
    <t>Replacement (4 years)</t>
  </si>
  <si>
    <t>Total [kEuro]</t>
  </si>
  <si>
    <t>CPU [kEuro]</t>
  </si>
  <si>
    <t>Tape Media [kEuro]</t>
  </si>
  <si>
    <t>Disk [kEuro]</t>
  </si>
  <si>
    <t>Grand Total:</t>
  </si>
  <si>
    <t>BaBar</t>
  </si>
  <si>
    <t>Purchase (without replacement) [kEuro] |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</si>
</sst>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scheme val="minor"/>
    </font>
    <font>
      <sz val="18"/>
      <color rgb="FFFF0000"/>
      <name val="Calibri"/>
      <scheme val="minor"/>
    </font>
    <font>
      <b/>
      <sz val="18"/>
      <color theme="1"/>
      <name val="Calibri"/>
      <family val="2"/>
      <scheme val="minor"/>
    </font>
    <font>
      <b/>
      <sz val="14"/>
      <name val="Arial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scheme val="minor"/>
    </font>
    <font>
      <b/>
      <sz val="16"/>
      <color theme="1"/>
      <name val="Calibri"/>
      <scheme val="minor"/>
    </font>
    <font>
      <b/>
      <sz val="14"/>
      <color rgb="FFFF0000"/>
      <name val="Calibri"/>
    </font>
    <font>
      <b/>
      <sz val="14"/>
      <color indexed="1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6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0" xfId="1"/>
    <xf numFmtId="0" fontId="0" fillId="0" borderId="0" xfId="1" applyFont="1"/>
    <xf numFmtId="9" fontId="2" fillId="0" borderId="0" xfId="1" applyNumberFormat="1"/>
    <xf numFmtId="10" fontId="2" fillId="0" borderId="0" xfId="1" applyNumberFormat="1"/>
    <xf numFmtId="0" fontId="2" fillId="0" borderId="0" xfId="1" applyNumberFormat="1"/>
    <xf numFmtId="2" fontId="2" fillId="0" borderId="0" xfId="1" applyNumberFormat="1"/>
    <xf numFmtId="2" fontId="0" fillId="0" borderId="0" xfId="0" applyNumberFormat="1"/>
    <xf numFmtId="0" fontId="8" fillId="0" borderId="0" xfId="0" applyFont="1"/>
    <xf numFmtId="0" fontId="1" fillId="0" borderId="0" xfId="0" applyFont="1"/>
    <xf numFmtId="0" fontId="9" fillId="0" borderId="0" xfId="0" applyFont="1"/>
    <xf numFmtId="0" fontId="2" fillId="0" borderId="0" xfId="1" applyFill="1"/>
    <xf numFmtId="3" fontId="0" fillId="0" borderId="0" xfId="0" applyNumberFormat="1"/>
    <xf numFmtId="0" fontId="10" fillId="0" borderId="0" xfId="0" applyFont="1"/>
    <xf numFmtId="0" fontId="11" fillId="0" borderId="0" xfId="1" applyFont="1" applyFill="1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" fillId="0" borderId="0" xfId="1" applyFont="1"/>
    <xf numFmtId="0" fontId="14" fillId="0" borderId="0" xfId="1" applyFont="1" applyFill="1"/>
    <xf numFmtId="0" fontId="15" fillId="0" borderId="0" xfId="0" applyFont="1"/>
    <xf numFmtId="1" fontId="15" fillId="0" borderId="0" xfId="0" applyNumberFormat="1" applyFont="1"/>
    <xf numFmtId="3" fontId="15" fillId="0" borderId="0" xfId="0" applyNumberFormat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NumberFormat="1" applyFont="1"/>
    <xf numFmtId="0" fontId="19" fillId="0" borderId="0" xfId="0" applyFont="1"/>
    <xf numFmtId="2" fontId="18" fillId="0" borderId="0" xfId="1" applyNumberFormat="1" applyFont="1"/>
    <xf numFmtId="0" fontId="0" fillId="0" borderId="0" xfId="0" applyAlignment="1">
      <alignment horizontal="center"/>
    </xf>
  </cellXfs>
  <cellStyles count="106">
    <cellStyle name="Excel Built-in Normal" xfId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A6" sqref="A6:K24"/>
    </sheetView>
    <sheetView tabSelected="1" workbookViewId="1">
      <selection activeCell="H35" sqref="H35"/>
    </sheetView>
  </sheetViews>
  <sheetFormatPr baseColWidth="10" defaultRowHeight="15" x14ac:dyDescent="0"/>
  <cols>
    <col min="1" max="1" width="58.33203125" customWidth="1"/>
  </cols>
  <sheetData>
    <row r="1" spans="1:11">
      <c r="A1" s="1" t="s">
        <v>58</v>
      </c>
    </row>
    <row r="2" spans="1:11">
      <c r="A2" s="2"/>
    </row>
    <row r="3" spans="1:11">
      <c r="A3" s="2"/>
      <c r="D3" s="32" t="s">
        <v>59</v>
      </c>
      <c r="E3" s="32"/>
      <c r="F3" s="32"/>
      <c r="G3" s="32"/>
      <c r="H3" s="32"/>
      <c r="I3" s="32"/>
      <c r="J3" s="32"/>
    </row>
    <row r="4" spans="1:11">
      <c r="A4" s="2"/>
    </row>
    <row r="5" spans="1:11">
      <c r="A5" s="2" t="s">
        <v>0</v>
      </c>
    </row>
    <row r="6" spans="1:11" s="12" customFormat="1">
      <c r="A6" s="12" t="s">
        <v>1</v>
      </c>
      <c r="B6" s="12" t="s">
        <v>105</v>
      </c>
      <c r="D6" s="12">
        <f>SBPerf!D6</f>
        <v>2015</v>
      </c>
      <c r="E6" s="12">
        <f>SBPerf!E6</f>
        <v>2016</v>
      </c>
      <c r="F6" s="12">
        <f>SBPerf!F6</f>
        <v>2017</v>
      </c>
      <c r="G6" s="12">
        <f>SBPerf!G6</f>
        <v>2018</v>
      </c>
      <c r="H6" s="12">
        <f>SBPerf!H6</f>
        <v>2019</v>
      </c>
      <c r="I6" s="12">
        <f>SBPerf!I6</f>
        <v>2020</v>
      </c>
      <c r="J6" s="12">
        <f>SBPerf!J6</f>
        <v>2021</v>
      </c>
      <c r="K6" s="12">
        <f>SBPerf!K6</f>
        <v>2022</v>
      </c>
    </row>
    <row r="7" spans="1:11">
      <c r="A7" s="5"/>
      <c r="B7" s="5"/>
      <c r="C7" s="5"/>
      <c r="D7" s="5"/>
    </row>
    <row r="8" spans="1:11">
      <c r="A8" s="4" t="str">
        <f>SBParams!A11</f>
        <v>Size of Raw Data(TB/ab-1)</v>
      </c>
      <c r="B8" s="4">
        <v>875</v>
      </c>
      <c r="D8">
        <v>6</v>
      </c>
      <c r="E8">
        <v>6</v>
      </c>
      <c r="F8">
        <v>6</v>
      </c>
      <c r="G8">
        <v>6</v>
      </c>
      <c r="H8">
        <v>6</v>
      </c>
      <c r="I8">
        <v>6</v>
      </c>
      <c r="J8">
        <v>6</v>
      </c>
      <c r="K8">
        <v>6</v>
      </c>
    </row>
    <row r="9" spans="1:11">
      <c r="A9" s="4" t="str">
        <f>SBParams!A12</f>
        <v>Micro Data Size(TB/ab-1)</v>
      </c>
      <c r="B9" s="4">
        <v>42</v>
      </c>
      <c r="D9">
        <v>2</v>
      </c>
      <c r="E9">
        <v>2</v>
      </c>
      <c r="F9">
        <v>2</v>
      </c>
      <c r="G9">
        <v>2</v>
      </c>
      <c r="H9">
        <v>2</v>
      </c>
      <c r="I9">
        <v>2</v>
      </c>
      <c r="J9">
        <v>2</v>
      </c>
      <c r="K9">
        <v>2</v>
      </c>
    </row>
    <row r="10" spans="1:11">
      <c r="A10" s="4" t="str">
        <f>SBParams!A13</f>
        <v>Mini Data Size(TB/ab-1)</v>
      </c>
      <c r="B10" s="4">
        <v>80</v>
      </c>
      <c r="D10">
        <v>2</v>
      </c>
      <c r="E10">
        <v>2</v>
      </c>
      <c r="F10">
        <v>2</v>
      </c>
      <c r="G10">
        <v>2</v>
      </c>
      <c r="H10">
        <v>2</v>
      </c>
      <c r="I10">
        <v>2</v>
      </c>
      <c r="J10">
        <v>2</v>
      </c>
      <c r="K10">
        <v>2</v>
      </c>
    </row>
    <row r="11" spans="1:11">
      <c r="A11" s="4" t="str">
        <f>SBParams!A14</f>
        <v>Micro MonteCarlo Size(TB/ab-1)</v>
      </c>
      <c r="B11" s="4">
        <v>51</v>
      </c>
      <c r="D11">
        <v>2</v>
      </c>
      <c r="E11">
        <v>2</v>
      </c>
      <c r="F11">
        <v>2</v>
      </c>
      <c r="G11">
        <v>2</v>
      </c>
      <c r="H11">
        <v>2</v>
      </c>
      <c r="I11">
        <v>2</v>
      </c>
      <c r="J11">
        <v>2</v>
      </c>
      <c r="K11">
        <v>2</v>
      </c>
    </row>
    <row r="12" spans="1:11">
      <c r="A12" s="4" t="str">
        <f>SBParams!A15</f>
        <v>Mini MonteCarlo Size(TB/ab-1)</v>
      </c>
      <c r="B12" s="4">
        <v>78</v>
      </c>
      <c r="D12">
        <v>2</v>
      </c>
      <c r="E12">
        <v>2</v>
      </c>
      <c r="F12">
        <v>2</v>
      </c>
      <c r="G12">
        <v>2</v>
      </c>
      <c r="H12">
        <v>2</v>
      </c>
      <c r="I12">
        <v>2</v>
      </c>
      <c r="J12">
        <v>2</v>
      </c>
      <c r="K12">
        <v>2</v>
      </c>
    </row>
    <row r="13" spans="1:11">
      <c r="A13" s="4" t="str">
        <f>SBParams!A16</f>
        <v>CPU: Phys. Analysis of data (KSpecInt2000/ab-1)</v>
      </c>
      <c r="B13" s="4">
        <v>1200</v>
      </c>
      <c r="D13">
        <v>3</v>
      </c>
      <c r="E13">
        <v>3</v>
      </c>
      <c r="F13">
        <v>3</v>
      </c>
      <c r="G13">
        <v>3</v>
      </c>
      <c r="H13">
        <v>3</v>
      </c>
      <c r="I13">
        <v>3</v>
      </c>
      <c r="J13">
        <v>3</v>
      </c>
      <c r="K13">
        <v>3</v>
      </c>
    </row>
    <row r="14" spans="1:11">
      <c r="A14" s="4" t="str">
        <f>SBParams!A17</f>
        <v>CPU: Phys. Analysis of MonteCarlo (KSpecInt2000/ab-1)</v>
      </c>
      <c r="B14" s="4">
        <v>1300</v>
      </c>
      <c r="D14">
        <v>3</v>
      </c>
      <c r="E14">
        <v>3</v>
      </c>
      <c r="F14">
        <v>3</v>
      </c>
      <c r="G14">
        <v>3</v>
      </c>
      <c r="H14">
        <v>3</v>
      </c>
      <c r="I14">
        <v>3</v>
      </c>
      <c r="J14">
        <v>3</v>
      </c>
      <c r="K14">
        <v>3</v>
      </c>
    </row>
    <row r="15" spans="1:11">
      <c r="A15" s="4" t="str">
        <f>SBParams!A18</f>
        <v>CPU: Data Reconstruction (KSpecInt2000/10^36 cm^2sec^-1)</v>
      </c>
      <c r="B15" s="4">
        <v>22100</v>
      </c>
      <c r="D15">
        <v>4</v>
      </c>
      <c r="E15">
        <v>4</v>
      </c>
      <c r="F15">
        <v>4</v>
      </c>
      <c r="G15">
        <v>4</v>
      </c>
      <c r="H15">
        <v>4</v>
      </c>
      <c r="I15">
        <v>4</v>
      </c>
      <c r="J15">
        <v>4</v>
      </c>
      <c r="K15">
        <v>4</v>
      </c>
    </row>
    <row r="16" spans="1:11">
      <c r="A16" s="4" t="str">
        <f>SBParams!A19</f>
        <v>CPU: MonteCarlo Production (KSpecInt2000/10^36 cm^2sec^-1)</v>
      </c>
      <c r="B16" s="4">
        <v>70000</v>
      </c>
      <c r="D16">
        <v>4</v>
      </c>
      <c r="E16">
        <v>4</v>
      </c>
      <c r="F16">
        <v>4</v>
      </c>
      <c r="G16">
        <v>4</v>
      </c>
      <c r="H16">
        <v>4</v>
      </c>
      <c r="I16">
        <v>4</v>
      </c>
      <c r="J16">
        <v>4</v>
      </c>
      <c r="K16">
        <v>4</v>
      </c>
    </row>
    <row r="17" spans="1:11">
      <c r="A17" s="4" t="str">
        <f>SBParams!A20</f>
        <v>CPU: Skimming of Data (KSpecInt2000/10^36 cm^2sec^-1)</v>
      </c>
      <c r="B17" s="4">
        <v>10200</v>
      </c>
      <c r="D17">
        <v>3</v>
      </c>
      <c r="E17">
        <v>3</v>
      </c>
      <c r="F17">
        <v>3</v>
      </c>
      <c r="G17">
        <v>3</v>
      </c>
      <c r="H17">
        <v>3</v>
      </c>
      <c r="I17">
        <v>3</v>
      </c>
      <c r="J17">
        <v>3</v>
      </c>
      <c r="K17">
        <v>3</v>
      </c>
    </row>
    <row r="18" spans="1:11">
      <c r="A18" s="4" t="str">
        <f>SBParams!A21</f>
        <v>CPU: Skimming of MonteCarlo(KSpecInt2000/10^36 cm^2sec^-1)</v>
      </c>
      <c r="B18" s="4">
        <v>10000</v>
      </c>
      <c r="D18">
        <v>3</v>
      </c>
      <c r="E18">
        <v>3</v>
      </c>
      <c r="F18">
        <v>3</v>
      </c>
      <c r="G18">
        <v>3</v>
      </c>
      <c r="H18">
        <v>3</v>
      </c>
      <c r="I18">
        <v>3</v>
      </c>
      <c r="J18">
        <v>3</v>
      </c>
      <c r="K18">
        <v>3</v>
      </c>
    </row>
    <row r="19" spans="1:11">
      <c r="A19" s="4" t="str">
        <f>SBParams!A22</f>
        <v>CPU: Phys. Analysis of data (KHepSpec/ab-1)</v>
      </c>
      <c r="B19" s="8">
        <f>B13*Industry!$B$3</f>
        <v>4.8</v>
      </c>
      <c r="D19">
        <v>3</v>
      </c>
      <c r="E19">
        <v>3</v>
      </c>
      <c r="F19">
        <v>3</v>
      </c>
      <c r="G19">
        <v>3</v>
      </c>
      <c r="H19">
        <v>3</v>
      </c>
      <c r="I19">
        <v>3</v>
      </c>
      <c r="J19">
        <v>3</v>
      </c>
      <c r="K19">
        <v>3</v>
      </c>
    </row>
    <row r="20" spans="1:11">
      <c r="A20" s="4" t="str">
        <f>SBParams!A23</f>
        <v>CPU: Phys. Analysis of MonteCarlo (KHepSpec/ab-1)</v>
      </c>
      <c r="B20" s="8">
        <f>B14*Industry!$B$3</f>
        <v>5.2</v>
      </c>
      <c r="D20">
        <v>3</v>
      </c>
      <c r="E20">
        <v>3</v>
      </c>
      <c r="F20">
        <v>3</v>
      </c>
      <c r="G20">
        <v>3</v>
      </c>
      <c r="H20">
        <v>3</v>
      </c>
      <c r="I20">
        <v>3</v>
      </c>
      <c r="J20">
        <v>3</v>
      </c>
      <c r="K20">
        <v>3</v>
      </c>
    </row>
    <row r="21" spans="1:11">
      <c r="A21" s="4" t="str">
        <f>SBParams!A24</f>
        <v>CPU: Data Reconstruction (KHepSpec/10^36 cm^2sec^-1)</v>
      </c>
      <c r="B21" s="8">
        <f>B15*Industry!$B$3</f>
        <v>88.4</v>
      </c>
      <c r="D21">
        <v>4</v>
      </c>
      <c r="E21">
        <v>4</v>
      </c>
      <c r="F21">
        <v>4</v>
      </c>
      <c r="G21">
        <v>4</v>
      </c>
      <c r="H21">
        <v>4</v>
      </c>
      <c r="I21">
        <v>4</v>
      </c>
      <c r="J21">
        <v>4</v>
      </c>
      <c r="K21">
        <v>4</v>
      </c>
    </row>
    <row r="22" spans="1:11">
      <c r="A22" s="4" t="str">
        <f>SBParams!A25</f>
        <v>CPU: MonteCarlo Production (KHepSpec/10^36 cm^2sec^-1)</v>
      </c>
      <c r="B22" s="8">
        <f>B16*Industry!$B$3</f>
        <v>280</v>
      </c>
      <c r="D22">
        <v>4</v>
      </c>
      <c r="E22">
        <v>4</v>
      </c>
      <c r="F22">
        <v>4</v>
      </c>
      <c r="G22">
        <v>4</v>
      </c>
      <c r="H22">
        <v>4</v>
      </c>
      <c r="I22">
        <v>4</v>
      </c>
      <c r="J22">
        <v>4</v>
      </c>
      <c r="K22">
        <v>4</v>
      </c>
    </row>
    <row r="23" spans="1:11">
      <c r="A23" s="4" t="str">
        <f>SBParams!A26</f>
        <v>CPU: Skimming of Data (KHepSpec/10^36 cm^2sec^-1)</v>
      </c>
      <c r="B23" s="8">
        <f>B17*Industry!$B$3</f>
        <v>40.800000000000004</v>
      </c>
      <c r="D23">
        <v>3</v>
      </c>
      <c r="E23">
        <v>3</v>
      </c>
      <c r="F23">
        <v>3</v>
      </c>
      <c r="G23">
        <v>3</v>
      </c>
      <c r="H23">
        <v>3</v>
      </c>
      <c r="I23">
        <v>3</v>
      </c>
      <c r="J23">
        <v>3</v>
      </c>
      <c r="K23">
        <v>3</v>
      </c>
    </row>
    <row r="24" spans="1:11">
      <c r="A24" s="4" t="str">
        <f>SBParams!A27</f>
        <v>CPU: Skimming of MonteCarlo(KHepSpec/10^36 cm^2sec^-1)</v>
      </c>
      <c r="B24" s="8">
        <f>B18*Industry!$B$3</f>
        <v>40</v>
      </c>
      <c r="D24">
        <v>3</v>
      </c>
      <c r="E24">
        <v>3</v>
      </c>
      <c r="F24">
        <v>3</v>
      </c>
      <c r="G24">
        <v>3</v>
      </c>
      <c r="H24">
        <v>3</v>
      </c>
      <c r="I24">
        <v>3</v>
      </c>
      <c r="J24">
        <v>3</v>
      </c>
      <c r="K24">
        <v>3</v>
      </c>
    </row>
  </sheetData>
  <mergeCells count="1">
    <mergeCell ref="D3:J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K40" sqref="K40"/>
    </sheetView>
    <sheetView workbookViewId="1">
      <selection activeCell="D24" sqref="D24"/>
    </sheetView>
  </sheetViews>
  <sheetFormatPr baseColWidth="10" defaultRowHeight="15" x14ac:dyDescent="0"/>
  <cols>
    <col min="1" max="1" width="52.83203125" customWidth="1"/>
    <col min="2" max="2" width="0.33203125" customWidth="1"/>
    <col min="3" max="3" width="0.5" customWidth="1"/>
  </cols>
  <sheetData>
    <row r="1" spans="1:11">
      <c r="A1" t="s">
        <v>32</v>
      </c>
    </row>
    <row r="6" spans="1:11">
      <c r="A6" t="s">
        <v>1</v>
      </c>
      <c r="D6">
        <f>SBPerf!D6</f>
        <v>2015</v>
      </c>
      <c r="E6">
        <f>SBPerf!E6</f>
        <v>2016</v>
      </c>
      <c r="F6">
        <f>SBPerf!F6</f>
        <v>2017</v>
      </c>
      <c r="G6">
        <f>SBPerf!G6</f>
        <v>2018</v>
      </c>
      <c r="H6">
        <f>SBPerf!H6</f>
        <v>2019</v>
      </c>
      <c r="I6">
        <f>SBPerf!I6</f>
        <v>2020</v>
      </c>
      <c r="J6">
        <f>SBPerf!J6</f>
        <v>2021</v>
      </c>
      <c r="K6">
        <f>SBPerf!K6</f>
        <v>2022</v>
      </c>
    </row>
    <row r="11" spans="1:11">
      <c r="A11" s="4" t="s">
        <v>2</v>
      </c>
      <c r="D11">
        <f>BaBar!$B8*BaBar!D8</f>
        <v>5250</v>
      </c>
      <c r="E11">
        <f>BaBar!$B8*BaBar!E8</f>
        <v>5250</v>
      </c>
      <c r="F11">
        <f>BaBar!$B8*BaBar!F8</f>
        <v>5250</v>
      </c>
      <c r="G11">
        <f>BaBar!$B8*BaBar!G8</f>
        <v>5250</v>
      </c>
      <c r="H11">
        <f>BaBar!$B8*BaBar!H8</f>
        <v>5250</v>
      </c>
      <c r="I11">
        <f>BaBar!$B8*BaBar!I8</f>
        <v>5250</v>
      </c>
      <c r="J11">
        <f>BaBar!$B8*BaBar!J8</f>
        <v>5250</v>
      </c>
      <c r="K11">
        <f>BaBar!$B8*BaBar!K8</f>
        <v>5250</v>
      </c>
    </row>
    <row r="12" spans="1:11">
      <c r="A12" s="4" t="s">
        <v>3</v>
      </c>
      <c r="D12">
        <f>BaBar!$B9*BaBar!D9</f>
        <v>84</v>
      </c>
      <c r="E12">
        <f>BaBar!$B9*BaBar!E9</f>
        <v>84</v>
      </c>
      <c r="F12">
        <f>BaBar!$B9*BaBar!F9</f>
        <v>84</v>
      </c>
      <c r="G12">
        <f>BaBar!$B9*BaBar!G9</f>
        <v>84</v>
      </c>
      <c r="H12">
        <f>BaBar!$B9*BaBar!H9</f>
        <v>84</v>
      </c>
      <c r="I12">
        <f>BaBar!$B9*BaBar!I9</f>
        <v>84</v>
      </c>
      <c r="J12">
        <f>BaBar!$B9*BaBar!J9</f>
        <v>84</v>
      </c>
      <c r="K12">
        <f>BaBar!$B9*BaBar!K9</f>
        <v>84</v>
      </c>
    </row>
    <row r="13" spans="1:11">
      <c r="A13" s="4" t="s">
        <v>4</v>
      </c>
      <c r="D13">
        <f>BaBar!$B10*BaBar!D10</f>
        <v>160</v>
      </c>
      <c r="E13">
        <f>BaBar!$B10*BaBar!E10</f>
        <v>160</v>
      </c>
      <c r="F13">
        <f>BaBar!$B10*BaBar!F10</f>
        <v>160</v>
      </c>
      <c r="G13">
        <f>BaBar!$B10*BaBar!G10</f>
        <v>160</v>
      </c>
      <c r="H13">
        <f>BaBar!$B10*BaBar!H10</f>
        <v>160</v>
      </c>
      <c r="I13">
        <f>BaBar!$B10*BaBar!I10</f>
        <v>160</v>
      </c>
      <c r="J13">
        <f>BaBar!$B10*BaBar!J10</f>
        <v>160</v>
      </c>
      <c r="K13">
        <f>BaBar!$B10*BaBar!K10</f>
        <v>160</v>
      </c>
    </row>
    <row r="14" spans="1:11">
      <c r="A14" s="4" t="s">
        <v>5</v>
      </c>
      <c r="D14">
        <f>BaBar!$B11*BaBar!D11</f>
        <v>102</v>
      </c>
      <c r="E14">
        <f>BaBar!$B11*BaBar!E11</f>
        <v>102</v>
      </c>
      <c r="F14">
        <f>BaBar!$B11*BaBar!F11</f>
        <v>102</v>
      </c>
      <c r="G14">
        <f>BaBar!$B11*BaBar!G11</f>
        <v>102</v>
      </c>
      <c r="H14">
        <f>BaBar!$B11*BaBar!H11</f>
        <v>102</v>
      </c>
      <c r="I14">
        <f>BaBar!$B11*BaBar!I11</f>
        <v>102</v>
      </c>
      <c r="J14">
        <f>BaBar!$B11*BaBar!J11</f>
        <v>102</v>
      </c>
      <c r="K14">
        <f>BaBar!$B11*BaBar!K11</f>
        <v>102</v>
      </c>
    </row>
    <row r="15" spans="1:11">
      <c r="A15" s="4" t="s">
        <v>6</v>
      </c>
      <c r="D15">
        <f>BaBar!$B12*BaBar!D12</f>
        <v>156</v>
      </c>
      <c r="E15">
        <f>BaBar!$B12*BaBar!E12</f>
        <v>156</v>
      </c>
      <c r="F15">
        <f>BaBar!$B12*BaBar!F12</f>
        <v>156</v>
      </c>
      <c r="G15">
        <f>BaBar!$B12*BaBar!G12</f>
        <v>156</v>
      </c>
      <c r="H15">
        <f>BaBar!$B12*BaBar!H12</f>
        <v>156</v>
      </c>
      <c r="I15">
        <f>BaBar!$B12*BaBar!I12</f>
        <v>156</v>
      </c>
      <c r="J15">
        <f>BaBar!$B12*BaBar!J12</f>
        <v>156</v>
      </c>
      <c r="K15">
        <f>BaBar!$B12*BaBar!K12</f>
        <v>156</v>
      </c>
    </row>
    <row r="16" spans="1:11">
      <c r="A16" s="4" t="s">
        <v>47</v>
      </c>
      <c r="D16">
        <f>BaBar!$B13*BaBar!D13</f>
        <v>3600</v>
      </c>
      <c r="E16">
        <f>BaBar!$B13*BaBar!E13</f>
        <v>3600</v>
      </c>
      <c r="F16">
        <f>BaBar!$B13*BaBar!F13</f>
        <v>3600</v>
      </c>
      <c r="G16">
        <f>BaBar!$B13*BaBar!G13</f>
        <v>3600</v>
      </c>
      <c r="H16">
        <f>BaBar!$B13*BaBar!H13</f>
        <v>3600</v>
      </c>
      <c r="I16">
        <f>BaBar!$B13*BaBar!I13</f>
        <v>3600</v>
      </c>
      <c r="J16">
        <f>BaBar!$B13*BaBar!J13</f>
        <v>3600</v>
      </c>
      <c r="K16">
        <f>BaBar!$B13*BaBar!K13</f>
        <v>3600</v>
      </c>
    </row>
    <row r="17" spans="1:11">
      <c r="A17" s="4" t="s">
        <v>48</v>
      </c>
      <c r="D17">
        <f>BaBar!$B14*BaBar!D14</f>
        <v>3900</v>
      </c>
      <c r="E17">
        <f>BaBar!$B14*BaBar!E14</f>
        <v>3900</v>
      </c>
      <c r="F17">
        <f>BaBar!$B14*BaBar!F14</f>
        <v>3900</v>
      </c>
      <c r="G17">
        <f>BaBar!$B14*BaBar!G14</f>
        <v>3900</v>
      </c>
      <c r="H17">
        <f>BaBar!$B14*BaBar!H14</f>
        <v>3900</v>
      </c>
      <c r="I17">
        <f>BaBar!$B14*BaBar!I14</f>
        <v>3900</v>
      </c>
      <c r="J17">
        <f>BaBar!$B14*BaBar!J14</f>
        <v>3900</v>
      </c>
      <c r="K17">
        <f>BaBar!$B14*BaBar!K14</f>
        <v>3900</v>
      </c>
    </row>
    <row r="18" spans="1:11">
      <c r="A18" s="4" t="s">
        <v>22</v>
      </c>
      <c r="D18">
        <f>BaBar!$B15*BaBar!D15</f>
        <v>88400</v>
      </c>
      <c r="E18">
        <f>BaBar!$B15*BaBar!E15</f>
        <v>88400</v>
      </c>
      <c r="F18">
        <f>BaBar!$B15*BaBar!F15</f>
        <v>88400</v>
      </c>
      <c r="G18">
        <f>BaBar!$B15*BaBar!G15</f>
        <v>88400</v>
      </c>
      <c r="H18">
        <f>BaBar!$B15*BaBar!H15</f>
        <v>88400</v>
      </c>
      <c r="I18">
        <f>BaBar!$B15*BaBar!I15</f>
        <v>88400</v>
      </c>
      <c r="J18">
        <f>BaBar!$B15*BaBar!J15</f>
        <v>88400</v>
      </c>
      <c r="K18">
        <f>BaBar!$B15*BaBar!K15</f>
        <v>88400</v>
      </c>
    </row>
    <row r="19" spans="1:11">
      <c r="A19" s="4" t="s">
        <v>23</v>
      </c>
      <c r="D19">
        <f>BaBar!$B16*BaBar!D16</f>
        <v>280000</v>
      </c>
      <c r="E19">
        <f>BaBar!$B16*BaBar!E16</f>
        <v>280000</v>
      </c>
      <c r="F19">
        <f>BaBar!$B16*BaBar!F16</f>
        <v>280000</v>
      </c>
      <c r="G19">
        <f>BaBar!$B16*BaBar!G16</f>
        <v>280000</v>
      </c>
      <c r="H19">
        <f>BaBar!$B16*BaBar!H16</f>
        <v>280000</v>
      </c>
      <c r="I19">
        <f>BaBar!$B16*BaBar!I16</f>
        <v>280000</v>
      </c>
      <c r="J19">
        <f>BaBar!$B16*BaBar!J16</f>
        <v>280000</v>
      </c>
      <c r="K19">
        <f>BaBar!$B16*BaBar!K16</f>
        <v>280000</v>
      </c>
    </row>
    <row r="20" spans="1:11">
      <c r="A20" s="4" t="s">
        <v>24</v>
      </c>
      <c r="D20">
        <f>BaBar!$B17*BaBar!D17</f>
        <v>30600</v>
      </c>
      <c r="E20">
        <f>BaBar!$B17*BaBar!E17</f>
        <v>30600</v>
      </c>
      <c r="F20">
        <f>BaBar!$B17*BaBar!F17</f>
        <v>30600</v>
      </c>
      <c r="G20">
        <f>BaBar!$B17*BaBar!G17</f>
        <v>30600</v>
      </c>
      <c r="H20">
        <f>BaBar!$B17*BaBar!H17</f>
        <v>30600</v>
      </c>
      <c r="I20">
        <f>BaBar!$B17*BaBar!I17</f>
        <v>30600</v>
      </c>
      <c r="J20">
        <f>BaBar!$B17*BaBar!J17</f>
        <v>30600</v>
      </c>
      <c r="K20">
        <f>BaBar!$B17*BaBar!K17</f>
        <v>30600</v>
      </c>
    </row>
    <row r="21" spans="1:11">
      <c r="A21" s="4" t="s">
        <v>25</v>
      </c>
      <c r="D21">
        <f>BaBar!$B18*BaBar!D18</f>
        <v>30000</v>
      </c>
      <c r="E21">
        <f>BaBar!$B18*BaBar!E18</f>
        <v>30000</v>
      </c>
      <c r="F21">
        <f>BaBar!$B18*BaBar!F18</f>
        <v>30000</v>
      </c>
      <c r="G21">
        <f>BaBar!$B18*BaBar!G18</f>
        <v>30000</v>
      </c>
      <c r="H21">
        <f>BaBar!$B18*BaBar!H18</f>
        <v>30000</v>
      </c>
      <c r="I21">
        <f>BaBar!$B18*BaBar!I18</f>
        <v>30000</v>
      </c>
      <c r="J21">
        <f>BaBar!$B18*BaBar!J18</f>
        <v>30000</v>
      </c>
      <c r="K21">
        <f>BaBar!$B18*BaBar!K18</f>
        <v>30000</v>
      </c>
    </row>
    <row r="22" spans="1:11">
      <c r="A22" s="4" t="s">
        <v>49</v>
      </c>
      <c r="D22">
        <f>BaBar!$B19*BaBar!D19</f>
        <v>14.399999999999999</v>
      </c>
      <c r="E22">
        <f>BaBar!$B19*BaBar!E19</f>
        <v>14.399999999999999</v>
      </c>
      <c r="F22">
        <f>BaBar!$B19*BaBar!F19</f>
        <v>14.399999999999999</v>
      </c>
      <c r="G22">
        <f>BaBar!$B19*BaBar!G19</f>
        <v>14.399999999999999</v>
      </c>
      <c r="H22">
        <f>BaBar!$B19*BaBar!H19</f>
        <v>14.399999999999999</v>
      </c>
      <c r="I22">
        <f>BaBar!$B19*BaBar!I19</f>
        <v>14.399999999999999</v>
      </c>
      <c r="J22">
        <f>BaBar!$B19*BaBar!J19</f>
        <v>14.399999999999999</v>
      </c>
      <c r="K22">
        <f>BaBar!$B19*BaBar!K19</f>
        <v>14.399999999999999</v>
      </c>
    </row>
    <row r="23" spans="1:11">
      <c r="A23" s="4" t="s">
        <v>50</v>
      </c>
      <c r="D23">
        <f>BaBar!$B20*BaBar!D20</f>
        <v>15.600000000000001</v>
      </c>
      <c r="E23">
        <f>BaBar!$B20*BaBar!E20</f>
        <v>15.600000000000001</v>
      </c>
      <c r="F23">
        <f>BaBar!$B20*BaBar!F20</f>
        <v>15.600000000000001</v>
      </c>
      <c r="G23">
        <f>BaBar!$B20*BaBar!G20</f>
        <v>15.600000000000001</v>
      </c>
      <c r="H23">
        <f>BaBar!$B20*BaBar!H20</f>
        <v>15.600000000000001</v>
      </c>
      <c r="I23">
        <f>BaBar!$B20*BaBar!I20</f>
        <v>15.600000000000001</v>
      </c>
      <c r="J23">
        <f>BaBar!$B20*BaBar!J20</f>
        <v>15.600000000000001</v>
      </c>
      <c r="K23">
        <f>BaBar!$B20*BaBar!K20</f>
        <v>15.600000000000001</v>
      </c>
    </row>
    <row r="24" spans="1:11">
      <c r="A24" s="4" t="s">
        <v>26</v>
      </c>
      <c r="D24">
        <f>BaBar!$B21*BaBar!D21</f>
        <v>353.6</v>
      </c>
      <c r="E24">
        <f>BaBar!$B21*BaBar!E21</f>
        <v>353.6</v>
      </c>
      <c r="F24">
        <f>BaBar!$B21*BaBar!F21</f>
        <v>353.6</v>
      </c>
      <c r="G24">
        <f>BaBar!$B21*BaBar!G21</f>
        <v>353.6</v>
      </c>
      <c r="H24">
        <f>BaBar!$B21*BaBar!H21</f>
        <v>353.6</v>
      </c>
      <c r="I24">
        <f>BaBar!$B21*BaBar!I21</f>
        <v>353.6</v>
      </c>
      <c r="J24">
        <f>BaBar!$B21*BaBar!J21</f>
        <v>353.6</v>
      </c>
      <c r="K24">
        <f>BaBar!$B21*BaBar!K21</f>
        <v>353.6</v>
      </c>
    </row>
    <row r="25" spans="1:11">
      <c r="A25" s="4" t="s">
        <v>27</v>
      </c>
      <c r="D25">
        <f>BaBar!$B22*BaBar!D22</f>
        <v>1120</v>
      </c>
      <c r="E25">
        <f>BaBar!$B22*BaBar!E22</f>
        <v>1120</v>
      </c>
      <c r="F25">
        <f>BaBar!$B22*BaBar!F22</f>
        <v>1120</v>
      </c>
      <c r="G25">
        <f>BaBar!$B22*BaBar!G22</f>
        <v>1120</v>
      </c>
      <c r="H25">
        <f>BaBar!$B22*BaBar!H22</f>
        <v>1120</v>
      </c>
      <c r="I25">
        <f>BaBar!$B22*BaBar!I22</f>
        <v>1120</v>
      </c>
      <c r="J25">
        <f>BaBar!$B22*BaBar!J22</f>
        <v>1120</v>
      </c>
      <c r="K25">
        <f>BaBar!$B22*BaBar!K22</f>
        <v>1120</v>
      </c>
    </row>
    <row r="26" spans="1:11">
      <c r="A26" s="4" t="s">
        <v>28</v>
      </c>
      <c r="D26">
        <f>BaBar!$B23*BaBar!D23</f>
        <v>122.4</v>
      </c>
      <c r="E26">
        <f>BaBar!$B23*BaBar!E23</f>
        <v>122.4</v>
      </c>
      <c r="F26">
        <f>BaBar!$B23*BaBar!F23</f>
        <v>122.4</v>
      </c>
      <c r="G26">
        <f>BaBar!$B23*BaBar!G23</f>
        <v>122.4</v>
      </c>
      <c r="H26">
        <f>BaBar!$B23*BaBar!H23</f>
        <v>122.4</v>
      </c>
      <c r="I26">
        <f>BaBar!$B23*BaBar!I23</f>
        <v>122.4</v>
      </c>
      <c r="J26">
        <f>BaBar!$B23*BaBar!J23</f>
        <v>122.4</v>
      </c>
      <c r="K26">
        <f>BaBar!$B23*BaBar!K23</f>
        <v>122.4</v>
      </c>
    </row>
    <row r="27" spans="1:11">
      <c r="A27" s="4" t="s">
        <v>29</v>
      </c>
      <c r="D27">
        <f>BaBar!$B24*BaBar!D24</f>
        <v>120</v>
      </c>
      <c r="E27">
        <f>BaBar!$B24*BaBar!E24</f>
        <v>120</v>
      </c>
      <c r="F27">
        <f>BaBar!$B24*BaBar!F24</f>
        <v>120</v>
      </c>
      <c r="G27">
        <f>BaBar!$B24*BaBar!G24</f>
        <v>120</v>
      </c>
      <c r="H27">
        <f>BaBar!$B24*BaBar!H24</f>
        <v>120</v>
      </c>
      <c r="I27">
        <f>BaBar!$B24*BaBar!I24</f>
        <v>120</v>
      </c>
      <c r="J27">
        <f>BaBar!$B24*BaBar!J24</f>
        <v>120</v>
      </c>
      <c r="K27">
        <f>BaBar!$B24*BaBar!K24</f>
        <v>120</v>
      </c>
    </row>
    <row r="28" spans="1:11">
      <c r="A28" s="4" t="s">
        <v>7</v>
      </c>
      <c r="D28" s="4">
        <v>2</v>
      </c>
      <c r="E28" s="4">
        <v>2</v>
      </c>
      <c r="F28" s="4">
        <v>2</v>
      </c>
      <c r="G28" s="4">
        <v>2</v>
      </c>
      <c r="H28" s="4">
        <v>2</v>
      </c>
      <c r="I28" s="4">
        <v>2</v>
      </c>
      <c r="J28" s="4">
        <v>2</v>
      </c>
      <c r="K28" s="4">
        <v>2</v>
      </c>
    </row>
    <row r="29" spans="1:11">
      <c r="A29" s="4" t="s">
        <v>8</v>
      </c>
      <c r="D29" s="4">
        <v>4</v>
      </c>
      <c r="E29" s="4">
        <v>4</v>
      </c>
      <c r="F29" s="4">
        <v>4</v>
      </c>
      <c r="G29" s="4">
        <v>4</v>
      </c>
      <c r="H29" s="4">
        <v>4</v>
      </c>
      <c r="I29" s="4">
        <v>4</v>
      </c>
      <c r="J29" s="4">
        <v>4</v>
      </c>
      <c r="K29" s="4">
        <v>4</v>
      </c>
    </row>
    <row r="30" spans="1:11">
      <c r="A30" s="4" t="s">
        <v>9</v>
      </c>
      <c r="D30" s="4">
        <v>1</v>
      </c>
      <c r="E30" s="4">
        <v>1</v>
      </c>
      <c r="F30" s="4">
        <v>1</v>
      </c>
      <c r="G30" s="4">
        <v>1</v>
      </c>
      <c r="H30" s="4">
        <v>1</v>
      </c>
      <c r="I30" s="4">
        <v>1</v>
      </c>
      <c r="J30" s="4">
        <v>1</v>
      </c>
      <c r="K30" s="4">
        <v>1</v>
      </c>
    </row>
    <row r="31" spans="1:11">
      <c r="A31" s="4" t="s">
        <v>10</v>
      </c>
      <c r="D31" s="4">
        <v>4</v>
      </c>
      <c r="E31" s="4">
        <v>4</v>
      </c>
      <c r="F31" s="4">
        <v>4</v>
      </c>
      <c r="G31" s="4">
        <v>4</v>
      </c>
      <c r="H31" s="4">
        <v>4</v>
      </c>
      <c r="I31" s="4">
        <v>4</v>
      </c>
      <c r="J31" s="4">
        <v>4</v>
      </c>
      <c r="K31" s="4">
        <v>4</v>
      </c>
    </row>
    <row r="32" spans="1:11">
      <c r="A32" s="4" t="s">
        <v>11</v>
      </c>
      <c r="D32" s="4">
        <v>1</v>
      </c>
      <c r="E32" s="4">
        <v>1</v>
      </c>
      <c r="F32" s="4">
        <v>1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</row>
    <row r="33" spans="1:11">
      <c r="A33" s="4" t="s">
        <v>12</v>
      </c>
      <c r="D33" s="4">
        <v>5</v>
      </c>
      <c r="E33" s="4">
        <v>5</v>
      </c>
      <c r="F33" s="4">
        <v>5</v>
      </c>
      <c r="G33" s="4">
        <v>5</v>
      </c>
      <c r="H33" s="4">
        <v>5</v>
      </c>
      <c r="I33" s="4">
        <v>5</v>
      </c>
      <c r="J33" s="4">
        <v>5</v>
      </c>
      <c r="K33" s="4">
        <v>5</v>
      </c>
    </row>
    <row r="34" spans="1:11">
      <c r="A34" s="4" t="s">
        <v>13</v>
      </c>
      <c r="D34" s="6">
        <v>0.30000000000000004</v>
      </c>
      <c r="E34" s="6">
        <v>0.30000000000000004</v>
      </c>
      <c r="F34" s="6">
        <v>0.30000000000000004</v>
      </c>
      <c r="G34" s="6">
        <v>0.30000000000000004</v>
      </c>
      <c r="H34" s="6">
        <v>0.30000000000000004</v>
      </c>
      <c r="I34" s="6">
        <v>0.30000000000000004</v>
      </c>
      <c r="J34" s="6">
        <v>0.30000000000000004</v>
      </c>
      <c r="K34" s="6">
        <v>0.30000000000000004</v>
      </c>
    </row>
    <row r="35" spans="1:11">
      <c r="A35" s="4" t="s">
        <v>14</v>
      </c>
      <c r="D35" s="6">
        <v>0.2</v>
      </c>
      <c r="E35" s="6">
        <v>0.2</v>
      </c>
      <c r="F35" s="6">
        <v>0.2</v>
      </c>
      <c r="G35" s="6">
        <v>0.2</v>
      </c>
      <c r="H35" s="6">
        <v>0.2</v>
      </c>
      <c r="I35" s="6">
        <v>0.2</v>
      </c>
      <c r="J35" s="6">
        <v>0.2</v>
      </c>
      <c r="K35" s="6">
        <v>0.2</v>
      </c>
    </row>
    <row r="36" spans="1:11">
      <c r="A36" s="4" t="s">
        <v>15</v>
      </c>
      <c r="D36" s="4">
        <v>1</v>
      </c>
      <c r="E36" s="4">
        <v>1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</row>
    <row r="37" spans="1:11">
      <c r="A37" s="4" t="s">
        <v>16</v>
      </c>
      <c r="D37" s="4">
        <v>1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  <c r="J37" s="4">
        <v>1</v>
      </c>
      <c r="K37" s="4">
        <v>1</v>
      </c>
    </row>
    <row r="38" spans="1:11">
      <c r="A38" s="4" t="s">
        <v>17</v>
      </c>
      <c r="D38" s="4">
        <v>1</v>
      </c>
      <c r="E38" s="4">
        <v>1</v>
      </c>
      <c r="F38" s="4">
        <v>1</v>
      </c>
      <c r="G38" s="4">
        <v>0.5</v>
      </c>
      <c r="H38" s="4">
        <v>0.5</v>
      </c>
      <c r="I38" s="4">
        <v>0.1</v>
      </c>
      <c r="J38" s="4">
        <v>0.1</v>
      </c>
      <c r="K38" s="4">
        <v>0.1</v>
      </c>
    </row>
    <row r="39" spans="1:11">
      <c r="A39" s="4" t="s">
        <v>18</v>
      </c>
      <c r="D39" s="4">
        <v>1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</row>
    <row r="40" spans="1:11">
      <c r="A40" s="4" t="s">
        <v>19</v>
      </c>
      <c r="D40" s="4">
        <v>1</v>
      </c>
      <c r="E40" s="4">
        <v>1</v>
      </c>
      <c r="F40" s="4">
        <v>1</v>
      </c>
      <c r="G40" s="4">
        <v>0.5</v>
      </c>
      <c r="H40" s="4">
        <v>0.5</v>
      </c>
      <c r="I40" s="4">
        <v>0.1</v>
      </c>
      <c r="J40" s="4">
        <v>0.1</v>
      </c>
      <c r="K40" s="4">
        <v>0.1</v>
      </c>
    </row>
    <row r="41" spans="1:11">
      <c r="A41" s="4" t="s">
        <v>20</v>
      </c>
      <c r="D41" s="4">
        <v>1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</row>
    <row r="42" spans="1:11">
      <c r="A42" s="4" t="s">
        <v>21</v>
      </c>
      <c r="D42" s="7">
        <v>0.15</v>
      </c>
      <c r="E42" s="7">
        <v>0.15</v>
      </c>
      <c r="F42" s="7">
        <v>0.15</v>
      </c>
      <c r="G42" s="7">
        <v>0.15</v>
      </c>
      <c r="H42" s="7">
        <v>0.15</v>
      </c>
      <c r="I42" s="7">
        <v>0.15</v>
      </c>
      <c r="J42" s="7">
        <v>0.15</v>
      </c>
      <c r="K42" s="7">
        <v>0.15</v>
      </c>
    </row>
    <row r="43" spans="1:11">
      <c r="A43" s="4" t="s">
        <v>30</v>
      </c>
      <c r="D43" s="4">
        <v>9</v>
      </c>
      <c r="E43" s="4">
        <v>9</v>
      </c>
      <c r="F43" s="4">
        <v>9</v>
      </c>
      <c r="G43" s="4">
        <v>9</v>
      </c>
      <c r="H43" s="4">
        <v>9</v>
      </c>
      <c r="I43" s="4">
        <v>9</v>
      </c>
      <c r="J43" s="4">
        <v>9</v>
      </c>
      <c r="K43" s="4">
        <v>9</v>
      </c>
    </row>
    <row r="44" spans="1:11">
      <c r="A44" s="4" t="s">
        <v>31</v>
      </c>
      <c r="D44" s="4">
        <v>6</v>
      </c>
      <c r="E44" s="4">
        <v>6</v>
      </c>
      <c r="F44" s="4">
        <v>6</v>
      </c>
      <c r="G44" s="4">
        <v>6</v>
      </c>
      <c r="H44" s="4">
        <v>6</v>
      </c>
      <c r="I44" s="4">
        <v>6</v>
      </c>
      <c r="J44" s="4">
        <v>6</v>
      </c>
      <c r="K44" s="4">
        <v>6</v>
      </c>
    </row>
    <row r="45" spans="1:11">
      <c r="A45" s="14" t="s">
        <v>74</v>
      </c>
      <c r="D45" s="14">
        <v>1</v>
      </c>
      <c r="E45" s="14">
        <v>1</v>
      </c>
      <c r="F45" s="14">
        <v>1</v>
      </c>
      <c r="G45" s="14">
        <v>1</v>
      </c>
      <c r="H45" s="14">
        <v>1</v>
      </c>
      <c r="I45" s="14">
        <v>1</v>
      </c>
      <c r="J45" s="14">
        <v>1</v>
      </c>
      <c r="K45" s="14">
        <v>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A12" sqref="A12:K15"/>
    </sheetView>
    <sheetView workbookViewId="1"/>
  </sheetViews>
  <sheetFormatPr baseColWidth="10" defaultRowHeight="15" x14ac:dyDescent="0"/>
  <cols>
    <col min="1" max="1" width="34.6640625" customWidth="1"/>
  </cols>
  <sheetData>
    <row r="1" spans="1:11" ht="23">
      <c r="A1" s="13" t="s">
        <v>43</v>
      </c>
    </row>
    <row r="3" spans="1:11">
      <c r="A3" t="s">
        <v>51</v>
      </c>
      <c r="B3">
        <v>2016</v>
      </c>
    </row>
    <row r="5" spans="1:11">
      <c r="A5" t="s">
        <v>42</v>
      </c>
      <c r="D5">
        <v>-1</v>
      </c>
      <c r="E5">
        <v>0</v>
      </c>
      <c r="F5">
        <v>1</v>
      </c>
      <c r="G5">
        <v>2</v>
      </c>
      <c r="H5">
        <v>3</v>
      </c>
      <c r="I5">
        <v>4</v>
      </c>
      <c r="J5">
        <v>5</v>
      </c>
      <c r="K5">
        <v>6</v>
      </c>
    </row>
    <row r="6" spans="1:11">
      <c r="A6" s="12" t="s">
        <v>1</v>
      </c>
      <c r="B6" s="12"/>
      <c r="C6" s="12"/>
      <c r="D6" s="12">
        <f>D5+$B$3</f>
        <v>2015</v>
      </c>
      <c r="E6" s="12">
        <f t="shared" ref="E6:K6" si="0">E5+$B$3</f>
        <v>2016</v>
      </c>
      <c r="F6" s="12">
        <f t="shared" si="0"/>
        <v>2017</v>
      </c>
      <c r="G6" s="12">
        <f t="shared" si="0"/>
        <v>2018</v>
      </c>
      <c r="H6" s="12">
        <f t="shared" si="0"/>
        <v>2019</v>
      </c>
      <c r="I6" s="12">
        <f t="shared" si="0"/>
        <v>2020</v>
      </c>
      <c r="J6" s="12">
        <f t="shared" si="0"/>
        <v>2021</v>
      </c>
      <c r="K6" s="12">
        <f t="shared" si="0"/>
        <v>2022</v>
      </c>
    </row>
    <row r="8" spans="1:11">
      <c r="A8" s="11" t="s">
        <v>46</v>
      </c>
    </row>
    <row r="9" spans="1:11">
      <c r="A9" t="s">
        <v>44</v>
      </c>
      <c r="D9" s="4">
        <v>19.3</v>
      </c>
      <c r="E9" s="4">
        <v>19.3</v>
      </c>
      <c r="F9" s="4">
        <v>19.3</v>
      </c>
      <c r="G9" s="4">
        <v>19.3</v>
      </c>
      <c r="H9" s="4">
        <v>19.3</v>
      </c>
      <c r="I9" s="4">
        <v>19.3</v>
      </c>
      <c r="J9" s="4">
        <v>19.3</v>
      </c>
      <c r="K9" s="4">
        <v>19.3</v>
      </c>
    </row>
    <row r="10" spans="1:11">
      <c r="A10" t="s">
        <v>45</v>
      </c>
      <c r="D10" s="4">
        <v>9</v>
      </c>
      <c r="E10" s="4">
        <v>9</v>
      </c>
      <c r="F10" s="4">
        <v>9</v>
      </c>
      <c r="G10" s="4">
        <v>9</v>
      </c>
      <c r="H10" s="4">
        <v>9</v>
      </c>
      <c r="I10" s="4">
        <v>9</v>
      </c>
      <c r="J10" s="4">
        <v>9</v>
      </c>
      <c r="K10" s="4">
        <v>9</v>
      </c>
    </row>
    <row r="12" spans="1:11" s="30" customFormat="1" ht="18">
      <c r="A12" s="26" t="s">
        <v>38</v>
      </c>
      <c r="B12" s="27"/>
      <c r="C12" s="27"/>
      <c r="D12" s="28"/>
      <c r="E12" s="29"/>
      <c r="F12" s="29"/>
      <c r="G12" s="29"/>
      <c r="H12" s="29"/>
      <c r="I12" s="29"/>
      <c r="J12" s="29"/>
    </row>
    <row r="13" spans="1:11" s="30" customFormat="1" ht="18">
      <c r="A13" s="28" t="s">
        <v>39</v>
      </c>
      <c r="B13" s="28"/>
      <c r="C13" s="28"/>
      <c r="D13" s="28">
        <v>0</v>
      </c>
      <c r="E13" s="31">
        <v>0.25</v>
      </c>
      <c r="F13" s="31">
        <v>0.7</v>
      </c>
      <c r="G13" s="31">
        <v>1</v>
      </c>
      <c r="H13" s="31">
        <f>G13</f>
        <v>1</v>
      </c>
      <c r="I13" s="31">
        <f>H13</f>
        <v>1</v>
      </c>
      <c r="J13" s="31">
        <f>I13</f>
        <v>1</v>
      </c>
      <c r="K13" s="31">
        <f>J13</f>
        <v>1</v>
      </c>
    </row>
    <row r="14" spans="1:11" s="30" customFormat="1" ht="18">
      <c r="A14" s="28" t="s">
        <v>41</v>
      </c>
      <c r="B14" s="28"/>
      <c r="C14" s="28"/>
      <c r="D14" s="31">
        <f t="shared" ref="D14:K14" si="1">D13*86400*D9*D10/1000000</f>
        <v>0</v>
      </c>
      <c r="E14" s="31">
        <f t="shared" si="1"/>
        <v>3.7519200000000001</v>
      </c>
      <c r="F14" s="31">
        <f t="shared" si="1"/>
        <v>10.505376</v>
      </c>
      <c r="G14" s="31">
        <f t="shared" si="1"/>
        <v>15.007680000000001</v>
      </c>
      <c r="H14" s="31">
        <f t="shared" si="1"/>
        <v>15.007680000000001</v>
      </c>
      <c r="I14" s="31">
        <f t="shared" si="1"/>
        <v>15.007680000000001</v>
      </c>
      <c r="J14" s="31">
        <f t="shared" si="1"/>
        <v>15.007680000000001</v>
      </c>
      <c r="K14" s="31">
        <f t="shared" si="1"/>
        <v>15.007680000000001</v>
      </c>
    </row>
    <row r="15" spans="1:11" s="30" customFormat="1" ht="18">
      <c r="A15" s="28" t="s">
        <v>40</v>
      </c>
      <c r="B15" s="28"/>
      <c r="C15" s="28"/>
      <c r="D15" s="31">
        <f>D14</f>
        <v>0</v>
      </c>
      <c r="E15" s="31">
        <f>E14</f>
        <v>3.7519200000000001</v>
      </c>
      <c r="F15" s="31">
        <f t="shared" ref="F15:K15" si="2">F14+E15</f>
        <v>14.257296</v>
      </c>
      <c r="G15" s="31">
        <f t="shared" si="2"/>
        <v>29.264976000000001</v>
      </c>
      <c r="H15" s="31">
        <f t="shared" si="2"/>
        <v>44.272655999999998</v>
      </c>
      <c r="I15" s="31">
        <f t="shared" si="2"/>
        <v>59.280335999999998</v>
      </c>
      <c r="J15" s="31">
        <f t="shared" si="2"/>
        <v>74.288015999999999</v>
      </c>
      <c r="K15" s="31">
        <f t="shared" si="2"/>
        <v>89.295695999999992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A5" sqref="A5:O14"/>
    </sheetView>
    <sheetView workbookViewId="1">
      <selection activeCell="A5" sqref="A5:O14"/>
    </sheetView>
  </sheetViews>
  <sheetFormatPr baseColWidth="10" defaultRowHeight="15" x14ac:dyDescent="0"/>
  <cols>
    <col min="1" max="1" width="42" customWidth="1"/>
    <col min="2" max="3" width="0" hidden="1" customWidth="1"/>
  </cols>
  <sheetData>
    <row r="1" spans="1:15">
      <c r="A1" t="s">
        <v>33</v>
      </c>
    </row>
    <row r="3" spans="1:15">
      <c r="A3" s="4" t="s">
        <v>37</v>
      </c>
      <c r="B3">
        <v>4.0000000000000001E-3</v>
      </c>
    </row>
    <row r="5" spans="1:15" s="3" customFormat="1">
      <c r="A5" s="3" t="s">
        <v>1</v>
      </c>
      <c r="B5" s="21">
        <v>2009</v>
      </c>
      <c r="C5" s="21">
        <v>2010</v>
      </c>
      <c r="D5" s="21">
        <v>2011</v>
      </c>
      <c r="E5" s="3">
        <v>2012</v>
      </c>
      <c r="F5" s="3">
        <v>2013</v>
      </c>
      <c r="G5" s="3">
        <v>2014</v>
      </c>
      <c r="H5" s="3">
        <v>2015</v>
      </c>
      <c r="I5" s="3">
        <v>2016</v>
      </c>
      <c r="J5" s="3">
        <v>2017</v>
      </c>
      <c r="K5" s="3">
        <v>2018</v>
      </c>
      <c r="L5" s="3">
        <v>2019</v>
      </c>
      <c r="M5" s="3">
        <v>2020</v>
      </c>
      <c r="N5" s="3">
        <v>2021</v>
      </c>
      <c r="O5" s="3">
        <v>2022</v>
      </c>
    </row>
    <row r="6" spans="1:15" s="4" customFormat="1" ht="12">
      <c r="A6" s="4" t="s">
        <v>56</v>
      </c>
      <c r="B6" s="9">
        <v>350</v>
      </c>
      <c r="C6" s="9">
        <v>350</v>
      </c>
      <c r="D6" s="9">
        <v>350</v>
      </c>
      <c r="E6" s="9">
        <v>350</v>
      </c>
      <c r="F6" s="9">
        <v>350</v>
      </c>
      <c r="G6" s="9">
        <v>350</v>
      </c>
      <c r="H6" s="9">
        <v>350</v>
      </c>
      <c r="I6" s="9">
        <v>350</v>
      </c>
      <c r="J6" s="9">
        <v>350</v>
      </c>
      <c r="K6" s="9">
        <v>350</v>
      </c>
      <c r="L6" s="9">
        <v>350</v>
      </c>
      <c r="M6" s="9">
        <v>350</v>
      </c>
      <c r="N6" s="9">
        <v>350</v>
      </c>
      <c r="O6" s="9">
        <v>350</v>
      </c>
    </row>
    <row r="7" spans="1:15" s="4" customFormat="1" ht="12">
      <c r="A7" s="4" t="s">
        <v>57</v>
      </c>
      <c r="B7" s="9">
        <v>20</v>
      </c>
      <c r="C7" s="9">
        <v>20</v>
      </c>
      <c r="D7" s="9">
        <v>20</v>
      </c>
      <c r="E7" s="9">
        <v>20</v>
      </c>
      <c r="F7" s="9">
        <v>20</v>
      </c>
      <c r="G7" s="9">
        <v>20</v>
      </c>
      <c r="H7" s="9">
        <v>20</v>
      </c>
      <c r="I7" s="9">
        <v>20</v>
      </c>
      <c r="J7" s="9">
        <v>20</v>
      </c>
      <c r="K7" s="9">
        <v>20</v>
      </c>
      <c r="L7" s="9">
        <v>20</v>
      </c>
      <c r="M7" s="9">
        <v>20</v>
      </c>
      <c r="N7" s="9">
        <v>20</v>
      </c>
      <c r="O7" s="9">
        <v>20</v>
      </c>
    </row>
    <row r="8" spans="1:15" s="4" customFormat="1" ht="12">
      <c r="A8" s="4" t="s">
        <v>52</v>
      </c>
      <c r="B8" s="9">
        <v>0.08</v>
      </c>
      <c r="C8" s="9">
        <v>0.08</v>
      </c>
      <c r="D8" s="9">
        <v>0.08</v>
      </c>
      <c r="E8" s="9">
        <v>0.08</v>
      </c>
      <c r="F8" s="9">
        <v>0.08</v>
      </c>
      <c r="G8" s="9">
        <v>0.08</v>
      </c>
      <c r="H8" s="9">
        <v>0.08</v>
      </c>
      <c r="I8" s="9">
        <v>0.08</v>
      </c>
      <c r="J8" s="9">
        <v>0.08</v>
      </c>
      <c r="K8" s="9">
        <v>0.08</v>
      </c>
      <c r="L8" s="9">
        <v>0.08</v>
      </c>
      <c r="M8" s="9">
        <v>0.08</v>
      </c>
      <c r="N8" s="9">
        <v>0.08</v>
      </c>
      <c r="O8" s="9">
        <v>0.08</v>
      </c>
    </row>
    <row r="9" spans="1:15" s="4" customFormat="1" ht="12">
      <c r="A9" s="4" t="s">
        <v>34</v>
      </c>
      <c r="B9" s="9">
        <v>1</v>
      </c>
      <c r="C9" s="9">
        <v>1</v>
      </c>
      <c r="D9" s="9">
        <v>1</v>
      </c>
      <c r="E9" s="9">
        <v>2</v>
      </c>
      <c r="F9" s="9">
        <v>2</v>
      </c>
      <c r="G9" s="9">
        <v>5</v>
      </c>
      <c r="H9" s="9">
        <v>5</v>
      </c>
      <c r="I9" s="9">
        <v>10</v>
      </c>
      <c r="J9" s="9">
        <v>10</v>
      </c>
      <c r="K9" s="9">
        <v>20</v>
      </c>
      <c r="L9" s="9">
        <v>20</v>
      </c>
      <c r="M9" s="9">
        <v>40</v>
      </c>
      <c r="N9" s="9">
        <v>40</v>
      </c>
      <c r="O9" s="9">
        <v>80</v>
      </c>
    </row>
    <row r="10" spans="1:15" s="4" customFormat="1" ht="12">
      <c r="A10" s="4" t="s">
        <v>35</v>
      </c>
      <c r="B10" s="9">
        <v>6000</v>
      </c>
      <c r="C10" s="9">
        <v>6000</v>
      </c>
      <c r="D10" s="9">
        <v>6000</v>
      </c>
      <c r="E10" s="9">
        <v>6000</v>
      </c>
      <c r="F10" s="9">
        <v>6000</v>
      </c>
      <c r="G10" s="9">
        <v>6000</v>
      </c>
      <c r="H10" s="9">
        <v>6000</v>
      </c>
      <c r="I10" s="9">
        <v>6000</v>
      </c>
      <c r="J10" s="9">
        <v>6000</v>
      </c>
      <c r="K10" s="9">
        <v>6000</v>
      </c>
      <c r="L10" s="9">
        <v>6000</v>
      </c>
      <c r="M10" s="9">
        <v>6000</v>
      </c>
      <c r="N10" s="9">
        <v>6000</v>
      </c>
      <c r="O10" s="9">
        <v>6000</v>
      </c>
    </row>
    <row r="11" spans="1:15" s="4" customFormat="1" ht="12">
      <c r="A11" s="4" t="s">
        <v>36</v>
      </c>
      <c r="B11" s="9">
        <v>200</v>
      </c>
      <c r="C11" s="9">
        <v>200</v>
      </c>
      <c r="D11" s="9">
        <v>200</v>
      </c>
      <c r="E11" s="9">
        <v>200</v>
      </c>
      <c r="F11" s="9">
        <v>200</v>
      </c>
      <c r="G11" s="9">
        <v>200</v>
      </c>
      <c r="H11" s="9">
        <v>200</v>
      </c>
      <c r="I11" s="9">
        <v>200</v>
      </c>
      <c r="J11" s="9">
        <v>200</v>
      </c>
      <c r="K11" s="9">
        <v>200</v>
      </c>
      <c r="L11" s="9">
        <v>200</v>
      </c>
      <c r="M11" s="9">
        <v>200</v>
      </c>
      <c r="N11" s="9">
        <v>200</v>
      </c>
      <c r="O11" s="9">
        <v>200</v>
      </c>
    </row>
    <row r="12" spans="1:15" s="4" customFormat="1" ht="12">
      <c r="A12" s="4" t="s">
        <v>53</v>
      </c>
      <c r="B12" s="9">
        <v>1.35</v>
      </c>
      <c r="C12" s="9">
        <v>0.9</v>
      </c>
      <c r="D12" s="9">
        <v>0.60000000000000009</v>
      </c>
      <c r="E12" s="9">
        <f>D12*0.7</f>
        <v>0.42000000000000004</v>
      </c>
      <c r="F12" s="9">
        <f t="shared" ref="F12:O12" si="0">E12*0.7</f>
        <v>0.29399999999999998</v>
      </c>
      <c r="G12" s="9">
        <f t="shared" si="0"/>
        <v>0.20579999999999998</v>
      </c>
      <c r="H12" s="9">
        <f t="shared" si="0"/>
        <v>0.14405999999999997</v>
      </c>
      <c r="I12" s="9">
        <f t="shared" si="0"/>
        <v>0.10084199999999997</v>
      </c>
      <c r="J12" s="9">
        <f t="shared" si="0"/>
        <v>7.0589399999999983E-2</v>
      </c>
      <c r="K12" s="9">
        <f t="shared" si="0"/>
        <v>4.9412579999999984E-2</v>
      </c>
      <c r="L12" s="9">
        <f t="shared" si="0"/>
        <v>3.4588805999999986E-2</v>
      </c>
      <c r="M12" s="9">
        <f t="shared" si="0"/>
        <v>2.421216419999999E-2</v>
      </c>
      <c r="N12" s="9">
        <f t="shared" si="0"/>
        <v>1.6948514939999992E-2</v>
      </c>
      <c r="O12" s="9">
        <f t="shared" si="0"/>
        <v>1.1863960457999994E-2</v>
      </c>
    </row>
    <row r="13" spans="1:15" s="4" customFormat="1" ht="12">
      <c r="A13" s="4" t="s">
        <v>55</v>
      </c>
      <c r="B13" s="9">
        <v>0.13500000000000001</v>
      </c>
      <c r="C13" s="9">
        <v>0.09</v>
      </c>
      <c r="D13" s="9">
        <v>0.06</v>
      </c>
      <c r="E13" s="9">
        <f>D13*0.7</f>
        <v>4.1999999999999996E-2</v>
      </c>
      <c r="F13" s="9">
        <f t="shared" ref="F13:O13" si="1">E13*0.7</f>
        <v>2.9399999999999996E-2</v>
      </c>
      <c r="G13" s="9">
        <f t="shared" si="1"/>
        <v>2.0579999999999994E-2</v>
      </c>
      <c r="H13" s="9">
        <f t="shared" si="1"/>
        <v>1.4405999999999995E-2</v>
      </c>
      <c r="I13" s="9">
        <f t="shared" si="1"/>
        <v>1.0084199999999996E-2</v>
      </c>
      <c r="J13" s="9">
        <f t="shared" si="1"/>
        <v>7.0589399999999971E-3</v>
      </c>
      <c r="K13" s="9">
        <f t="shared" si="1"/>
        <v>4.9412579999999979E-3</v>
      </c>
      <c r="L13" s="9">
        <f t="shared" si="1"/>
        <v>3.4588805999999982E-3</v>
      </c>
      <c r="M13" s="9">
        <f t="shared" si="1"/>
        <v>2.4212164199999987E-3</v>
      </c>
      <c r="N13" s="9">
        <f t="shared" si="1"/>
        <v>1.6948514939999989E-3</v>
      </c>
      <c r="O13" s="9">
        <f t="shared" si="1"/>
        <v>1.1863960457999991E-3</v>
      </c>
    </row>
    <row r="14" spans="1:15" s="4" customFormat="1" ht="12">
      <c r="A14" s="4" t="s">
        <v>54</v>
      </c>
      <c r="B14" s="9">
        <f>B13/$B$3</f>
        <v>33.75</v>
      </c>
      <c r="C14" s="9">
        <f t="shared" ref="C14:O14" si="2">C13/$B$3</f>
        <v>22.5</v>
      </c>
      <c r="D14" s="9">
        <f t="shared" si="2"/>
        <v>15</v>
      </c>
      <c r="E14" s="9">
        <f t="shared" si="2"/>
        <v>10.499999999999998</v>
      </c>
      <c r="F14" s="9">
        <f t="shared" si="2"/>
        <v>7.3499999999999988</v>
      </c>
      <c r="G14" s="9">
        <f t="shared" si="2"/>
        <v>5.1449999999999987</v>
      </c>
      <c r="H14" s="9">
        <f t="shared" si="2"/>
        <v>3.6014999999999988</v>
      </c>
      <c r="I14" s="9">
        <f t="shared" si="2"/>
        <v>2.5210499999999989</v>
      </c>
      <c r="J14" s="9">
        <f t="shared" si="2"/>
        <v>1.7647349999999993</v>
      </c>
      <c r="K14" s="9">
        <f t="shared" si="2"/>
        <v>1.2353144999999994</v>
      </c>
      <c r="L14" s="9">
        <f t="shared" si="2"/>
        <v>0.86472014999999947</v>
      </c>
      <c r="M14" s="9">
        <f t="shared" si="2"/>
        <v>0.60530410499999965</v>
      </c>
      <c r="N14" s="9">
        <f t="shared" si="2"/>
        <v>0.4237128734999997</v>
      </c>
      <c r="O14" s="9">
        <f t="shared" si="2"/>
        <v>0.29659901144999978</v>
      </c>
    </row>
    <row r="15" spans="1:1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2: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2:1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2:1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2:1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2:1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2:1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opLeftCell="A37" workbookViewId="0">
      <selection activeCell="A50" sqref="A50:K59"/>
    </sheetView>
    <sheetView workbookViewId="1">
      <selection activeCell="E20" sqref="E20"/>
    </sheetView>
  </sheetViews>
  <sheetFormatPr baseColWidth="10" defaultRowHeight="15" x14ac:dyDescent="0"/>
  <cols>
    <col min="1" max="1" width="51.33203125" customWidth="1"/>
    <col min="2" max="2" width="1.1640625" customWidth="1"/>
    <col min="3" max="3" width="5.1640625" hidden="1" customWidth="1"/>
    <col min="4" max="4" width="11" customWidth="1"/>
    <col min="5" max="9" width="11" bestFit="1" customWidth="1"/>
    <col min="10" max="11" width="11.5" bestFit="1" customWidth="1"/>
    <col min="13" max="13" width="17" customWidth="1"/>
  </cols>
  <sheetData>
    <row r="1" spans="1:11">
      <c r="A1" t="s">
        <v>60</v>
      </c>
    </row>
    <row r="4" spans="1:11">
      <c r="A4" t="s">
        <v>1</v>
      </c>
      <c r="D4">
        <f>SBPerf!D6</f>
        <v>2015</v>
      </c>
      <c r="E4">
        <f>SBPerf!E6</f>
        <v>2016</v>
      </c>
      <c r="F4">
        <f>SBPerf!F6</f>
        <v>2017</v>
      </c>
      <c r="G4">
        <f>SBPerf!G6</f>
        <v>2018</v>
      </c>
      <c r="H4">
        <f>SBPerf!H6</f>
        <v>2019</v>
      </c>
      <c r="I4">
        <f>SBPerf!I6</f>
        <v>2020</v>
      </c>
      <c r="J4">
        <f>SBPerf!J6</f>
        <v>2021</v>
      </c>
      <c r="K4">
        <f>SBPerf!K6</f>
        <v>2022</v>
      </c>
    </row>
    <row r="7" spans="1:11">
      <c r="A7" t="s">
        <v>61</v>
      </c>
    </row>
    <row r="8" spans="1:11">
      <c r="A8" s="4" t="s">
        <v>39</v>
      </c>
      <c r="D8">
        <f>SBPerf!D13</f>
        <v>0</v>
      </c>
      <c r="E8">
        <f>SBPerf!E13</f>
        <v>0.25</v>
      </c>
      <c r="F8">
        <f>SBPerf!F13</f>
        <v>0.7</v>
      </c>
      <c r="G8">
        <f>SBPerf!G13</f>
        <v>1</v>
      </c>
      <c r="H8">
        <f>SBPerf!H13</f>
        <v>1</v>
      </c>
      <c r="I8">
        <f>SBPerf!I13</f>
        <v>1</v>
      </c>
      <c r="J8">
        <f>SBPerf!J13</f>
        <v>1</v>
      </c>
      <c r="K8">
        <f>SBPerf!K13</f>
        <v>1</v>
      </c>
    </row>
    <row r="9" spans="1:11">
      <c r="A9" s="4" t="s">
        <v>41</v>
      </c>
      <c r="D9">
        <f>SBPerf!D14</f>
        <v>0</v>
      </c>
      <c r="E9" s="10">
        <f>SBPerf!E14</f>
        <v>3.7519200000000001</v>
      </c>
      <c r="F9" s="10">
        <f>SBPerf!F14</f>
        <v>10.505376</v>
      </c>
      <c r="G9" s="10">
        <f>SBPerf!G14</f>
        <v>15.007680000000001</v>
      </c>
      <c r="H9" s="10">
        <f>SBPerf!H14</f>
        <v>15.007680000000001</v>
      </c>
      <c r="I9" s="10">
        <f>SBPerf!I14</f>
        <v>15.007680000000001</v>
      </c>
      <c r="J9" s="10">
        <f>SBPerf!J14</f>
        <v>15.007680000000001</v>
      </c>
      <c r="K9" s="10">
        <f>SBPerf!K14</f>
        <v>15.007680000000001</v>
      </c>
    </row>
    <row r="10" spans="1:11">
      <c r="A10" s="4" t="s">
        <v>40</v>
      </c>
      <c r="D10">
        <f>SBPerf!D15</f>
        <v>0</v>
      </c>
      <c r="E10" s="10">
        <f>SBPerf!E15</f>
        <v>3.7519200000000001</v>
      </c>
      <c r="F10" s="10">
        <f>SBPerf!F15</f>
        <v>14.257296</v>
      </c>
      <c r="G10" s="10">
        <f>SBPerf!G15</f>
        <v>29.264976000000001</v>
      </c>
      <c r="H10" s="10">
        <f>SBPerf!H15</f>
        <v>44.272655999999998</v>
      </c>
      <c r="I10" s="10">
        <f>SBPerf!I15</f>
        <v>59.280335999999998</v>
      </c>
      <c r="J10" s="10">
        <f>SBPerf!J15</f>
        <v>74.288015999999999</v>
      </c>
      <c r="K10" s="10">
        <f>SBPerf!K15</f>
        <v>89.295695999999992</v>
      </c>
    </row>
    <row r="13" spans="1:11" s="20" customFormat="1" ht="23">
      <c r="A13" s="22" t="s">
        <v>66</v>
      </c>
      <c r="E13" s="20">
        <f>E4</f>
        <v>2016</v>
      </c>
      <c r="F13" s="20">
        <f t="shared" ref="F13:K13" si="0">F4</f>
        <v>2017</v>
      </c>
      <c r="G13" s="20">
        <f t="shared" si="0"/>
        <v>2018</v>
      </c>
      <c r="H13" s="20">
        <f t="shared" si="0"/>
        <v>2019</v>
      </c>
      <c r="I13" s="20">
        <f t="shared" si="0"/>
        <v>2020</v>
      </c>
      <c r="J13" s="20">
        <f t="shared" si="0"/>
        <v>2021</v>
      </c>
      <c r="K13" s="20">
        <f t="shared" si="0"/>
        <v>2022</v>
      </c>
    </row>
    <row r="14" spans="1:11">
      <c r="A14" s="4" t="s">
        <v>68</v>
      </c>
      <c r="D14" s="15">
        <f>SBParams!D11*SBParams!D28*D$10</f>
        <v>0</v>
      </c>
      <c r="E14" s="15">
        <f>SBParams!E11*SBParams!E28*E$10</f>
        <v>39395.160000000003</v>
      </c>
      <c r="F14" s="15">
        <f>SBParams!F11*SBParams!F28*F$10</f>
        <v>149701.60800000001</v>
      </c>
      <c r="G14" s="15">
        <f>SBParams!G11*SBParams!G28*G$10</f>
        <v>307282.24800000002</v>
      </c>
      <c r="H14" s="15">
        <f>SBParams!H11*SBParams!H28*H$10</f>
        <v>464862.88799999998</v>
      </c>
      <c r="I14" s="15">
        <f>SBParams!I11*SBParams!I28*I$10</f>
        <v>622443.52799999993</v>
      </c>
      <c r="J14" s="15">
        <f>SBParams!J11*SBParams!J28*J$10</f>
        <v>780024.16799999995</v>
      </c>
      <c r="K14" s="15">
        <f>SBParams!K11*SBParams!K28*K$10</f>
        <v>937604.80799999996</v>
      </c>
    </row>
    <row r="15" spans="1:11">
      <c r="A15" s="4" t="s">
        <v>69</v>
      </c>
      <c r="D15" s="15">
        <f>SBParams!D12*SBParams!D29*D$10</f>
        <v>0</v>
      </c>
      <c r="E15" s="15">
        <f>SBParams!E12*SBParams!E29*E$10</f>
        <v>1260.6451200000001</v>
      </c>
      <c r="F15" s="15">
        <f>SBParams!F12*SBParams!F29*F$10</f>
        <v>4790.4514559999998</v>
      </c>
      <c r="G15" s="15">
        <f>SBParams!G12*SBParams!G29*G$10</f>
        <v>9833.0319359999994</v>
      </c>
      <c r="H15" s="15">
        <f>SBParams!H12*SBParams!H29*H$10</f>
        <v>14875.612416</v>
      </c>
      <c r="I15" s="15">
        <f>SBParams!I12*SBParams!I29*I$10</f>
        <v>19918.192896</v>
      </c>
      <c r="J15" s="15">
        <f>SBParams!J12*SBParams!J29*J$10</f>
        <v>24960.773376000001</v>
      </c>
      <c r="K15" s="15">
        <f>SBParams!K12*SBParams!K29*K$10</f>
        <v>30003.353855999998</v>
      </c>
    </row>
    <row r="16" spans="1:11">
      <c r="A16" s="4" t="s">
        <v>70</v>
      </c>
      <c r="D16" s="15">
        <f>SBParams!D13*SBParams!D30*D$10</f>
        <v>0</v>
      </c>
      <c r="E16" s="15">
        <f>SBParams!E13*SBParams!E30*E$10</f>
        <v>600.30719999999997</v>
      </c>
      <c r="F16" s="15">
        <f>SBParams!F13*SBParams!F30*F$10</f>
        <v>2281.1673599999999</v>
      </c>
      <c r="G16" s="15">
        <f>SBParams!G13*SBParams!G30*G$10</f>
        <v>4682.3961600000002</v>
      </c>
      <c r="H16" s="15">
        <f>SBParams!H13*SBParams!H30*H$10</f>
        <v>7083.6249599999992</v>
      </c>
      <c r="I16" s="15">
        <f>SBParams!I13*SBParams!I30*I$10</f>
        <v>9484.85376</v>
      </c>
      <c r="J16" s="15">
        <f>SBParams!J13*SBParams!J30*J$10</f>
        <v>11886.082559999999</v>
      </c>
      <c r="K16" s="15">
        <f>SBParams!K13*SBParams!K30*K$10</f>
        <v>14287.31136</v>
      </c>
    </row>
    <row r="17" spans="1:11">
      <c r="A17" s="4" t="s">
        <v>71</v>
      </c>
      <c r="D17" s="15">
        <f>SBParams!D14*SBParams!D$45*SBParams!D31*D$10</f>
        <v>0</v>
      </c>
      <c r="E17" s="15">
        <f>SBParams!E14*SBParams!E$45*SBParams!E31*E$10</f>
        <v>1530.7833600000001</v>
      </c>
      <c r="F17" s="15">
        <f>SBParams!F14*SBParams!F$45*SBParams!F31*F$10</f>
        <v>5816.9767680000004</v>
      </c>
      <c r="G17" s="15">
        <f>SBParams!G14*SBParams!G$45*SBParams!G31*G$10</f>
        <v>11940.110208</v>
      </c>
      <c r="H17" s="15">
        <f>SBParams!H14*SBParams!H$45*SBParams!H31*H$10</f>
        <v>18063.243648</v>
      </c>
      <c r="I17" s="15">
        <f>SBParams!I14*SBParams!I$45*SBParams!I31*I$10</f>
        <v>24186.377088000001</v>
      </c>
      <c r="J17" s="15">
        <f>SBParams!J14*SBParams!J$45*SBParams!J31*J$10</f>
        <v>30309.510527999999</v>
      </c>
      <c r="K17" s="15">
        <f>SBParams!K14*SBParams!K$45*SBParams!K31*K$10</f>
        <v>36432.643967999997</v>
      </c>
    </row>
    <row r="18" spans="1:11">
      <c r="A18" s="4" t="s">
        <v>72</v>
      </c>
      <c r="D18" s="15">
        <f>SBParams!D15*SBParams!D$45*SBParams!D32*D$10</f>
        <v>0</v>
      </c>
      <c r="E18" s="15">
        <f>SBParams!E15*SBParams!E$45*SBParams!E32*E$10</f>
        <v>585.29952000000003</v>
      </c>
      <c r="F18" s="15">
        <f>SBParams!F15*SBParams!F$45*SBParams!F32*F$10</f>
        <v>2224.1381759999999</v>
      </c>
      <c r="G18" s="15">
        <f>SBParams!G15*SBParams!G$45*SBParams!G32*G$10</f>
        <v>4565.3362560000005</v>
      </c>
      <c r="H18" s="15">
        <f>SBParams!H15*SBParams!H$45*SBParams!H32*H$10</f>
        <v>6906.5343359999997</v>
      </c>
      <c r="I18" s="15">
        <f>SBParams!I15*SBParams!I$45*SBParams!I32*I$10</f>
        <v>9247.7324159999989</v>
      </c>
      <c r="J18" s="15">
        <f>SBParams!J15*SBParams!J$45*SBParams!J32*J$10</f>
        <v>11588.930495999999</v>
      </c>
      <c r="K18" s="15">
        <f>SBParams!K15*SBParams!K$45*SBParams!K32*K$10</f>
        <v>13930.128575999999</v>
      </c>
    </row>
    <row r="19" spans="1:11">
      <c r="A19" s="4" t="s">
        <v>67</v>
      </c>
      <c r="D19" s="15">
        <f>D$9*(SBParams!D12+SBParams!D14*SBParams!D$45)*SBParams!D33*SBParams!D36</f>
        <v>0</v>
      </c>
      <c r="E19" s="15">
        <f>E$9*(SBParams!E12+SBParams!E14*SBParams!E$45)*SBParams!E33*SBParams!E36</f>
        <v>3489.2856000000002</v>
      </c>
      <c r="F19" s="15">
        <f>F$9*(SBParams!F12+SBParams!F14*SBParams!F$45)*SBParams!F33*SBParams!F36</f>
        <v>9769.999679999999</v>
      </c>
      <c r="G19" s="15">
        <f>G$9*(SBParams!G12+SBParams!G14*SBParams!G$45)*SBParams!G33*SBParams!G36</f>
        <v>13957.142400000001</v>
      </c>
      <c r="H19" s="15">
        <f>H$9*(SBParams!H12+SBParams!H14*SBParams!H$45)*SBParams!H33*SBParams!H36</f>
        <v>13957.142400000001</v>
      </c>
      <c r="I19" s="15">
        <f>I$9*(SBParams!I12+SBParams!I14*SBParams!I$45)*SBParams!I33*SBParams!I36</f>
        <v>13957.142400000001</v>
      </c>
      <c r="J19" s="15">
        <f>J$9*(SBParams!J12+SBParams!J14*SBParams!J$45)*SBParams!J33*SBParams!J36</f>
        <v>13957.142400000001</v>
      </c>
      <c r="K19" s="15">
        <f>K$9*(SBParams!K12+SBParams!K14*SBParams!K$45)*SBParams!K33*SBParams!K36</f>
        <v>13957.142400000001</v>
      </c>
    </row>
    <row r="20" spans="1:11">
      <c r="A20" s="4" t="s">
        <v>62</v>
      </c>
      <c r="D20" s="15">
        <f>D$10*(SBParams!D13+SBParams!D15*SBParams!D$45)*SBParams!D34</f>
        <v>0</v>
      </c>
      <c r="E20" s="15">
        <f>E$10*(SBParams!E13+SBParams!E15*SBParams!E$45)*SBParams!E34</f>
        <v>355.68201600000003</v>
      </c>
      <c r="F20" s="15">
        <f>F$10*(SBParams!F13+SBParams!F15*SBParams!F$45)*SBParams!F34</f>
        <v>1351.5916608000002</v>
      </c>
      <c r="G20" s="15">
        <f>G$10*(SBParams!G13+SBParams!G15*SBParams!G$45)*SBParams!G34</f>
        <v>2774.3197248000006</v>
      </c>
      <c r="H20" s="15">
        <f>H$10*(SBParams!H13+SBParams!H15*SBParams!H$45)*SBParams!H34</f>
        <v>4197.0477888000005</v>
      </c>
      <c r="I20" s="15">
        <f>I$10*(SBParams!I13+SBParams!I15*SBParams!I$45)*SBParams!I34</f>
        <v>5619.7758528000013</v>
      </c>
      <c r="J20" s="15">
        <f>J$10*(SBParams!J13+SBParams!J15*SBParams!J$45)*SBParams!J34</f>
        <v>7042.5039168000012</v>
      </c>
      <c r="K20" s="15">
        <f>K$10*(SBParams!K13+SBParams!K15*SBParams!K$45)*SBParams!K34</f>
        <v>8465.2319808000011</v>
      </c>
    </row>
    <row r="21" spans="1:11">
      <c r="A21" s="4" t="s">
        <v>63</v>
      </c>
      <c r="D21" s="15">
        <f>SBParams!D35*D$9*(SBParams!D12+SBParams!D13+(SBParams!D14+SBParams!D15)*SBParams!D$45)</f>
        <v>0</v>
      </c>
      <c r="E21" s="15">
        <f>SBParams!E35*E$9*(SBParams!E12+SBParams!E13+(SBParams!E14+SBParams!E15)*SBParams!E$45)</f>
        <v>376.692768</v>
      </c>
      <c r="F21" s="15">
        <f>SBParams!F35*F$9*(SBParams!F12+SBParams!F13+(SBParams!F14+SBParams!F15)*SBParams!F$45)</f>
        <v>1054.7397504</v>
      </c>
      <c r="G21" s="15">
        <f>SBParams!G35*G$9*(SBParams!G12+SBParams!G13+(SBParams!G14+SBParams!G15)*SBParams!G$45)</f>
        <v>1506.771072</v>
      </c>
      <c r="H21" s="15">
        <f>SBParams!H35*H$9*(SBParams!H12+SBParams!H13+(SBParams!H14+SBParams!H15)*SBParams!H$45)</f>
        <v>1506.771072</v>
      </c>
      <c r="I21" s="15">
        <f>SBParams!I35*I$9*(SBParams!I12+SBParams!I13+(SBParams!I14+SBParams!I15)*SBParams!I$45)</f>
        <v>1506.771072</v>
      </c>
      <c r="J21" s="15">
        <f>SBParams!J35*J$9*(SBParams!J12+SBParams!J13+(SBParams!J14+SBParams!J15)*SBParams!J$45)</f>
        <v>1506.771072</v>
      </c>
      <c r="K21" s="15">
        <f>SBParams!K35*K$9*(SBParams!K12+SBParams!K13+(SBParams!K14+SBParams!K15)*SBParams!K$45)</f>
        <v>1506.771072</v>
      </c>
    </row>
    <row r="22" spans="1:11">
      <c r="A22" s="4" t="s">
        <v>73</v>
      </c>
      <c r="D22" s="15">
        <v>0</v>
      </c>
      <c r="E22" s="15">
        <f>D10*(SBParams!D12+SBParams!D13+(SBParams!D14+SBParams!D15)*SBParams!D45)</f>
        <v>0</v>
      </c>
      <c r="F22" s="15">
        <f>E10*(SBParams!E12+SBParams!E13+SBParams!E14+SBParams!E15)</f>
        <v>1883.4638400000001</v>
      </c>
      <c r="G22" s="15">
        <f>F10*(SBParams!F12+SBParams!F13+SBParams!F14+SBParams!F15)</f>
        <v>7157.1625919999997</v>
      </c>
      <c r="H22" s="15">
        <f>G10*(SBParams!G12+SBParams!G13+SBParams!G14+SBParams!G15)</f>
        <v>14691.017952</v>
      </c>
      <c r="I22" s="15">
        <f>H10*(SBParams!H12+SBParams!H13+SBParams!H14+SBParams!H15)</f>
        <v>22224.873312</v>
      </c>
      <c r="J22" s="15">
        <f>I10*(SBParams!I12+SBParams!I13+SBParams!I14+SBParams!I15)</f>
        <v>29758.728671999997</v>
      </c>
      <c r="K22" s="15">
        <f>J10*(SBParams!J12+SBParams!J13+SBParams!J14+SBParams!J15)</f>
        <v>37292.584031999999</v>
      </c>
    </row>
    <row r="23" spans="1:11">
      <c r="A23" s="4" t="s">
        <v>64</v>
      </c>
      <c r="D23" s="15">
        <v>0</v>
      </c>
      <c r="E23" s="15">
        <f>D10*(SBParams!D12+SBParams!D14)*SBParams!D33</f>
        <v>0</v>
      </c>
      <c r="F23" s="15">
        <f>E10*(SBParams!E12+SBParams!E14)*SBParams!E33</f>
        <v>3489.2856000000002</v>
      </c>
      <c r="G23" s="15">
        <f>F10*(SBParams!F12+SBParams!F14)*SBParams!F33</f>
        <v>13259.28528</v>
      </c>
      <c r="H23" s="15">
        <f>G10*(SBParams!G12+SBParams!G14)*SBParams!G33</f>
        <v>27216.427680000001</v>
      </c>
      <c r="I23" s="15">
        <f>H10*(SBParams!H12+SBParams!H14)*SBParams!H33</f>
        <v>41173.570079999998</v>
      </c>
      <c r="J23" s="15">
        <f>I10*(SBParams!I12+SBParams!I14)*SBParams!I33</f>
        <v>55130.712480000002</v>
      </c>
      <c r="K23" s="15">
        <f>J10*(SBParams!J12+SBParams!J14)*SBParams!J33</f>
        <v>69087.854879999999</v>
      </c>
    </row>
    <row r="24" spans="1:11">
      <c r="A24" s="4" t="s">
        <v>65</v>
      </c>
      <c r="D24" s="15">
        <v>0</v>
      </c>
      <c r="E24" s="15">
        <v>0</v>
      </c>
      <c r="F24" s="15">
        <f>0.5*(D22+D23)</f>
        <v>0</v>
      </c>
      <c r="G24" s="15">
        <f t="shared" ref="G24:K24" si="1">0.5*(E22+E23)</f>
        <v>0</v>
      </c>
      <c r="H24" s="15">
        <f t="shared" si="1"/>
        <v>2686.3747200000003</v>
      </c>
      <c r="I24" s="15">
        <f t="shared" si="1"/>
        <v>10208.223936</v>
      </c>
      <c r="J24" s="15">
        <f t="shared" si="1"/>
        <v>20953.722816000001</v>
      </c>
      <c r="K24" s="15">
        <f t="shared" si="1"/>
        <v>31699.221696000001</v>
      </c>
    </row>
    <row r="26" spans="1:11" s="18" customFormat="1" ht="18">
      <c r="A26" s="17" t="s">
        <v>75</v>
      </c>
      <c r="D26" s="19">
        <f>SUM(D14:D24)</f>
        <v>0</v>
      </c>
      <c r="E26" s="19">
        <f t="shared" ref="E26:K26" si="2">SUM(E14:E24)</f>
        <v>47593.855584000012</v>
      </c>
      <c r="F26" s="19">
        <f t="shared" si="2"/>
        <v>182363.42229120006</v>
      </c>
      <c r="G26" s="19">
        <f t="shared" si="2"/>
        <v>376957.80362879997</v>
      </c>
      <c r="H26" s="19">
        <f t="shared" si="2"/>
        <v>576046.68497279985</v>
      </c>
      <c r="I26" s="19">
        <f t="shared" si="2"/>
        <v>779971.04081279982</v>
      </c>
      <c r="J26" s="19">
        <f t="shared" si="2"/>
        <v>987119.04631679994</v>
      </c>
      <c r="K26" s="19">
        <f t="shared" si="2"/>
        <v>1194267.0518208002</v>
      </c>
    </row>
    <row r="27" spans="1:11">
      <c r="A27" s="14" t="s">
        <v>76</v>
      </c>
      <c r="D27" s="15">
        <f>D15*SBParams!D$37+D16*SBParams!D$38+D17*SBParams!D$39+D18*SBParams!D$40+D19*SBParams!D$41+D20+D21</f>
        <v>0</v>
      </c>
      <c r="E27" s="15">
        <f>E15*SBParams!E$37+E16*SBParams!E$38+E17*SBParams!E$39+E18*SBParams!E$40+E19*SBParams!E$41+E20+E21</f>
        <v>8198.695584000001</v>
      </c>
      <c r="F27" s="15">
        <f>F15*SBParams!F$37+F16*SBParams!F$38+F17*SBParams!F$39+F18*SBParams!F$40+F19*SBParams!F$41+F20+F21</f>
        <v>27289.064851200001</v>
      </c>
      <c r="G27" s="15">
        <f>G15*SBParams!G$37+G16*SBParams!G$38+G17*SBParams!G$39+G18*SBParams!G$40+G19*SBParams!G$41+G20+G21</f>
        <v>44635.241548800004</v>
      </c>
      <c r="H27" s="15">
        <f>H15*SBParams!H$37+H16*SBParams!H$38+H17*SBParams!H$39+H18*SBParams!H$40+H19*SBParams!H$41+H20+H21</f>
        <v>59594.896972800008</v>
      </c>
      <c r="I27" s="15">
        <f>I15*SBParams!I$37+I16*SBParams!I$38+I17*SBParams!I$39+I18*SBParams!I$40+I19*SBParams!I$41+I20+I21</f>
        <v>67061.517926400003</v>
      </c>
      <c r="J27" s="15">
        <f>J15*SBParams!J$37+J16*SBParams!J$38+J17*SBParams!J$39+J18*SBParams!J$40+J19*SBParams!J$41+J20+J21</f>
        <v>80124.202598400021</v>
      </c>
      <c r="K27" s="15">
        <f>K15*SBParams!K$37+K16*SBParams!K$38+K17*SBParams!K$39+K18*SBParams!K$40+K19*SBParams!K$41+K20+K21</f>
        <v>93186.887270399995</v>
      </c>
    </row>
    <row r="28" spans="1:11" s="18" customFormat="1" ht="18">
      <c r="A28" s="17" t="s">
        <v>77</v>
      </c>
      <c r="D28" s="19">
        <f>D27*(1+SBParams!D$42)</f>
        <v>0</v>
      </c>
      <c r="E28" s="19">
        <f>E27*(1+SBParams!E$42)</f>
        <v>9428.4999215999997</v>
      </c>
      <c r="F28" s="19">
        <f>F27*(1+SBParams!F$42)</f>
        <v>31382.42457888</v>
      </c>
      <c r="G28" s="19">
        <f>G27*(1+SBParams!G$42)</f>
        <v>51330.527781119999</v>
      </c>
      <c r="H28" s="19">
        <f>H27*(1+SBParams!H$42)</f>
        <v>68534.131518720009</v>
      </c>
      <c r="I28" s="19">
        <f>I27*(1+SBParams!I$42)</f>
        <v>77120.745615359992</v>
      </c>
      <c r="J28" s="19">
        <f>J27*(1+SBParams!J$42)</f>
        <v>92142.832988160022</v>
      </c>
      <c r="K28" s="19">
        <f>K27*(1+SBParams!K$42)</f>
        <v>107164.92036095998</v>
      </c>
    </row>
    <row r="29" spans="1:11" s="18" customFormat="1" ht="18">
      <c r="A29" s="18" t="s">
        <v>78</v>
      </c>
      <c r="D29" s="19">
        <f>D14+D15+D16+D17+D18+D20+D22</f>
        <v>0</v>
      </c>
      <c r="E29" s="19">
        <f t="shared" ref="E29:K29" si="3">E14+E15+E16+E17+E18+E20+E22</f>
        <v>43727.877216000008</v>
      </c>
      <c r="F29" s="19">
        <f t="shared" si="3"/>
        <v>168049.39726080003</v>
      </c>
      <c r="G29" s="19">
        <f t="shared" si="3"/>
        <v>348234.60487679997</v>
      </c>
      <c r="H29" s="19">
        <f t="shared" si="3"/>
        <v>530679.96910079988</v>
      </c>
      <c r="I29" s="19">
        <f t="shared" si="3"/>
        <v>713125.33332479978</v>
      </c>
      <c r="J29" s="19">
        <f t="shared" si="3"/>
        <v>895570.69754879992</v>
      </c>
      <c r="K29" s="19">
        <f t="shared" si="3"/>
        <v>1078016.0617728001</v>
      </c>
    </row>
    <row r="32" spans="1:11" s="16" customFormat="1" ht="23">
      <c r="A32" s="16" t="s">
        <v>91</v>
      </c>
      <c r="E32" s="16">
        <f>E13</f>
        <v>2016</v>
      </c>
      <c r="F32" s="16">
        <f t="shared" ref="F32:K32" si="4">F13</f>
        <v>2017</v>
      </c>
      <c r="G32" s="16">
        <f t="shared" si="4"/>
        <v>2018</v>
      </c>
      <c r="H32" s="16">
        <f t="shared" si="4"/>
        <v>2019</v>
      </c>
      <c r="I32" s="16">
        <f t="shared" si="4"/>
        <v>2020</v>
      </c>
      <c r="J32" s="16">
        <f t="shared" si="4"/>
        <v>2021</v>
      </c>
      <c r="K32" s="16">
        <f t="shared" si="4"/>
        <v>2022</v>
      </c>
    </row>
    <row r="33" spans="1:11">
      <c r="A33" s="4" t="s">
        <v>80</v>
      </c>
      <c r="D33" s="15">
        <f>D$10*SBParams!D22</f>
        <v>0</v>
      </c>
      <c r="E33" s="15">
        <f>E$10*SBParams!E22</f>
        <v>54.027647999999999</v>
      </c>
      <c r="F33" s="15">
        <f>F$10*SBParams!F22</f>
        <v>205.30506239999997</v>
      </c>
      <c r="G33" s="15">
        <f>G$10*SBParams!G22</f>
        <v>421.41565439999999</v>
      </c>
      <c r="H33" s="15">
        <f>H$10*SBParams!H22</f>
        <v>637.52624639999988</v>
      </c>
      <c r="I33" s="15">
        <f>I$10*SBParams!I22</f>
        <v>853.63683839999987</v>
      </c>
      <c r="J33" s="15">
        <f>J$10*SBParams!J22</f>
        <v>1069.7474304</v>
      </c>
      <c r="K33" s="15">
        <f>K$10*SBParams!K22</f>
        <v>1285.8580223999998</v>
      </c>
    </row>
    <row r="34" spans="1:11">
      <c r="A34" s="4" t="s">
        <v>81</v>
      </c>
      <c r="D34" s="15">
        <f>D$10*SBParams!D23*SBParams!D$45</f>
        <v>0</v>
      </c>
      <c r="E34" s="15">
        <f>E$10*SBParams!E23*SBParams!E$45</f>
        <v>58.529952000000009</v>
      </c>
      <c r="F34" s="15">
        <f>F$10*SBParams!F23*SBParams!F$45</f>
        <v>222.41381760000002</v>
      </c>
      <c r="G34" s="15">
        <f>G$10*SBParams!G23*SBParams!G$45</f>
        <v>456.53362560000005</v>
      </c>
      <c r="H34" s="15">
        <f>H$10*SBParams!H23*SBParams!H$45</f>
        <v>690.65343360000008</v>
      </c>
      <c r="I34" s="15">
        <f>I$10*SBParams!I23*SBParams!I$45</f>
        <v>924.77324160000001</v>
      </c>
      <c r="J34" s="15">
        <f>J$10*SBParams!J23*SBParams!J$45</f>
        <v>1158.8930496</v>
      </c>
      <c r="K34" s="15">
        <f>K$10*SBParams!K23*SBParams!K$45</f>
        <v>1393.0128576</v>
      </c>
    </row>
    <row r="35" spans="1:11">
      <c r="A35" s="4" t="s">
        <v>88</v>
      </c>
      <c r="D35" s="15">
        <f>D$8*SBParams!D24</f>
        <v>0</v>
      </c>
      <c r="E35" s="15">
        <f>E$8*SBParams!E24</f>
        <v>88.4</v>
      </c>
      <c r="F35" s="15">
        <f>F$8*SBParams!F24</f>
        <v>247.52</v>
      </c>
      <c r="G35" s="15">
        <f>G$8*SBParams!G24</f>
        <v>353.6</v>
      </c>
      <c r="H35" s="15">
        <f>H$8*SBParams!H24</f>
        <v>353.6</v>
      </c>
      <c r="I35" s="15">
        <f>I$8*SBParams!I24</f>
        <v>353.6</v>
      </c>
      <c r="J35" s="15">
        <f>J$8*SBParams!J24</f>
        <v>353.6</v>
      </c>
      <c r="K35" s="15">
        <f>K$8*SBParams!K24</f>
        <v>353.6</v>
      </c>
    </row>
    <row r="36" spans="1:11">
      <c r="A36" s="5" t="s">
        <v>89</v>
      </c>
      <c r="D36" s="15">
        <f>D$8*SBParams!D25*SBParams!D$45</f>
        <v>0</v>
      </c>
      <c r="E36" s="15">
        <f>E$8*SBParams!E25*SBParams!E$45</f>
        <v>280</v>
      </c>
      <c r="F36" s="15">
        <f>F$8*SBParams!F25*SBParams!F$45</f>
        <v>784</v>
      </c>
      <c r="G36" s="15">
        <f>G$8*SBParams!G25*SBParams!G$45</f>
        <v>1120</v>
      </c>
      <c r="H36" s="15">
        <f>H$8*SBParams!H25*SBParams!H$45</f>
        <v>1120</v>
      </c>
      <c r="I36" s="15">
        <f>I$8*SBParams!I25*SBParams!I$45</f>
        <v>1120</v>
      </c>
      <c r="J36" s="15">
        <f>J$8*SBParams!J25*SBParams!J$45</f>
        <v>1120</v>
      </c>
      <c r="K36" s="15">
        <f>K$8*SBParams!K25*SBParams!K$45</f>
        <v>1120</v>
      </c>
    </row>
    <row r="37" spans="1:11">
      <c r="A37" s="4" t="s">
        <v>82</v>
      </c>
      <c r="D37" s="15">
        <f>D$8*SBParams!D26</f>
        <v>0</v>
      </c>
      <c r="E37" s="15">
        <f>E$8*SBParams!E26</f>
        <v>30.6</v>
      </c>
      <c r="F37" s="15">
        <f>F$8*SBParams!F26</f>
        <v>85.679999999999993</v>
      </c>
      <c r="G37" s="15">
        <f>G$8*SBParams!G26</f>
        <v>122.4</v>
      </c>
      <c r="H37" s="15">
        <f>H$8*SBParams!H26</f>
        <v>122.4</v>
      </c>
      <c r="I37" s="15">
        <f>I$8*SBParams!I26</f>
        <v>122.4</v>
      </c>
      <c r="J37" s="15">
        <f>J$8*SBParams!J26</f>
        <v>122.4</v>
      </c>
      <c r="K37" s="15">
        <f>K$8*SBParams!K26</f>
        <v>122.4</v>
      </c>
    </row>
    <row r="38" spans="1:11">
      <c r="A38" s="4" t="s">
        <v>83</v>
      </c>
      <c r="D38" s="15">
        <f>D$8*SBParams!D27*SBParams!D$45</f>
        <v>0</v>
      </c>
      <c r="E38" s="15">
        <f>E$8*SBParams!E27*SBParams!E$45</f>
        <v>30</v>
      </c>
      <c r="F38" s="15">
        <f>F$8*SBParams!F27*SBParams!F$45</f>
        <v>84</v>
      </c>
      <c r="G38" s="15">
        <f>G$8*SBParams!G27*SBParams!G$45</f>
        <v>120</v>
      </c>
      <c r="H38" s="15">
        <f>H$8*SBParams!H27*SBParams!H$45</f>
        <v>120</v>
      </c>
      <c r="I38" s="15">
        <f>I$8*SBParams!I27*SBParams!I$45</f>
        <v>120</v>
      </c>
      <c r="J38" s="15">
        <f>J$8*SBParams!J27*SBParams!J$45</f>
        <v>120</v>
      </c>
      <c r="K38" s="15">
        <f>K$8*SBParams!K27*SBParams!K$45</f>
        <v>120</v>
      </c>
    </row>
    <row r="39" spans="1:11">
      <c r="A39" s="4" t="s">
        <v>84</v>
      </c>
      <c r="D39" s="15">
        <v>0</v>
      </c>
      <c r="E39" s="15">
        <f>D35*SBPerf!D$10/SBParams!E$43+D39</f>
        <v>0</v>
      </c>
      <c r="F39" s="15">
        <f>E35*SBPerf!E$10/SBParams!F$43+E39</f>
        <v>88.4</v>
      </c>
      <c r="G39" s="15">
        <f>F35*SBPerf!F$10/SBParams!G$43+F39</f>
        <v>335.92000000000007</v>
      </c>
      <c r="H39" s="15">
        <f>G35*SBPerf!G$10/SBParams!H$43+G39</f>
        <v>689.5200000000001</v>
      </c>
      <c r="I39" s="15">
        <f>H35*SBPerf!H$10/SBParams!I$43+H39</f>
        <v>1043.1200000000001</v>
      </c>
      <c r="J39" s="15">
        <f>I35*SBPerf!I$10/SBParams!J$43+I39</f>
        <v>1396.7200000000003</v>
      </c>
      <c r="K39" s="15">
        <f>J35*SBPerf!J$10/SBParams!K$43+J39</f>
        <v>1750.3200000000002</v>
      </c>
    </row>
    <row r="40" spans="1:11">
      <c r="A40" s="4" t="s">
        <v>85</v>
      </c>
      <c r="D40" s="15">
        <v>0</v>
      </c>
      <c r="E40" s="15">
        <f>D36*SBPerf!D$10/SBParams!E$43+D40</f>
        <v>0</v>
      </c>
      <c r="F40" s="15">
        <f>E36*SBPerf!E$10/SBParams!F$43+E40</f>
        <v>280</v>
      </c>
      <c r="G40" s="15">
        <f>F36*SBPerf!F$10/SBParams!G$43+F40</f>
        <v>1064</v>
      </c>
      <c r="H40" s="15">
        <f>G36*SBPerf!G$10/SBParams!H$43+G40</f>
        <v>2184</v>
      </c>
      <c r="I40" s="15">
        <f>H36*SBPerf!H$10/SBParams!I$43+H40</f>
        <v>3304</v>
      </c>
      <c r="J40" s="15">
        <f>I36*SBPerf!I$10/SBParams!J$43+I40</f>
        <v>4424</v>
      </c>
      <c r="K40" s="15">
        <f>J36*SBPerf!J$10/SBParams!K$43+J40</f>
        <v>5544</v>
      </c>
    </row>
    <row r="41" spans="1:11">
      <c r="A41" s="4" t="s">
        <v>86</v>
      </c>
      <c r="D41" s="15">
        <v>0</v>
      </c>
      <c r="E41" s="15">
        <f>D37*SBPerf!D$10/SBParams!E$44+D41</f>
        <v>0</v>
      </c>
      <c r="F41" s="15">
        <f>E37*SBPerf!E$10/SBParams!F$44+E41</f>
        <v>45.900000000000006</v>
      </c>
      <c r="G41" s="15">
        <f>F37*SBPerf!F$10/SBParams!G$44+F41</f>
        <v>174.42</v>
      </c>
      <c r="H41" s="15">
        <f>G37*SBPerf!G$10/SBParams!H$44+G41</f>
        <v>358.02</v>
      </c>
      <c r="I41" s="15">
        <f>H37*SBPerf!H$10/SBParams!I$44+H41</f>
        <v>541.62</v>
      </c>
      <c r="J41" s="15">
        <f>I37*SBPerf!I$10/SBParams!J$44+I41</f>
        <v>725.22</v>
      </c>
      <c r="K41" s="15">
        <f>J37*SBPerf!J$10/SBParams!K$44+J41</f>
        <v>908.82</v>
      </c>
    </row>
    <row r="42" spans="1:11">
      <c r="A42" s="4" t="s">
        <v>87</v>
      </c>
      <c r="D42" s="15">
        <v>0</v>
      </c>
      <c r="E42" s="15">
        <f>D38*SBPerf!D$10/SBParams!E$44+D42</f>
        <v>0</v>
      </c>
      <c r="F42" s="15">
        <f>E38*SBPerf!E$10/SBParams!F$44+E42</f>
        <v>45</v>
      </c>
      <c r="G42" s="15">
        <f>F38*SBPerf!F$10/SBParams!G$44+F42</f>
        <v>171</v>
      </c>
      <c r="H42" s="15">
        <f>G38*SBPerf!G$10/SBParams!H$44+G42</f>
        <v>351</v>
      </c>
      <c r="I42" s="15">
        <f>H38*SBPerf!H$10/SBParams!I$44+H42</f>
        <v>531</v>
      </c>
      <c r="J42" s="15">
        <f>I38*SBPerf!I$10/SBParams!J$44+I42</f>
        <v>711</v>
      </c>
      <c r="K42" s="15">
        <f>J38*SBPerf!J$10/SBParams!K$44+J42</f>
        <v>891</v>
      </c>
    </row>
    <row r="44" spans="1:11" s="18" customFormat="1" ht="18">
      <c r="A44" s="17" t="s">
        <v>90</v>
      </c>
      <c r="D44" s="19">
        <f>SUM(D33:D42)</f>
        <v>0</v>
      </c>
      <c r="E44" s="19">
        <f t="shared" ref="E44:K44" si="5">SUM(E33:E42)</f>
        <v>541.55760000000009</v>
      </c>
      <c r="F44" s="19">
        <f t="shared" si="5"/>
        <v>2088.2188800000004</v>
      </c>
      <c r="G44" s="19">
        <f t="shared" si="5"/>
        <v>4339.28928</v>
      </c>
      <c r="H44" s="19">
        <f t="shared" si="5"/>
        <v>6626.7196800000002</v>
      </c>
      <c r="I44" s="19">
        <f t="shared" si="5"/>
        <v>8914.1500800000013</v>
      </c>
      <c r="J44" s="19">
        <f t="shared" si="5"/>
        <v>11201.580479999999</v>
      </c>
      <c r="K44" s="19">
        <f t="shared" si="5"/>
        <v>13489.010879999998</v>
      </c>
    </row>
    <row r="48" spans="1:11">
      <c r="E48" s="15"/>
      <c r="F48" s="15"/>
      <c r="G48" s="15"/>
      <c r="H48" s="15"/>
      <c r="I48" s="15"/>
      <c r="J48" s="15"/>
      <c r="K48" s="15"/>
    </row>
    <row r="50" spans="1:14" s="23" customFormat="1" ht="20">
      <c r="A50" s="23" t="s">
        <v>106</v>
      </c>
      <c r="D50" s="24">
        <f>D4</f>
        <v>2015</v>
      </c>
      <c r="E50" s="24">
        <f t="shared" ref="E50:K50" si="6">E4</f>
        <v>2016</v>
      </c>
      <c r="F50" s="24">
        <f t="shared" si="6"/>
        <v>2017</v>
      </c>
      <c r="G50" s="24">
        <f t="shared" si="6"/>
        <v>2018</v>
      </c>
      <c r="H50" s="24">
        <f t="shared" si="6"/>
        <v>2019</v>
      </c>
      <c r="I50" s="24">
        <f t="shared" si="6"/>
        <v>2020</v>
      </c>
      <c r="J50" s="24">
        <f t="shared" si="6"/>
        <v>2021</v>
      </c>
      <c r="K50" s="24">
        <f t="shared" si="6"/>
        <v>2022</v>
      </c>
    </row>
    <row r="51" spans="1:14">
      <c r="A51" t="s">
        <v>92</v>
      </c>
      <c r="D51" s="15">
        <f>(E28-D28)*Industry!H12</f>
        <v>1358.2696987056956</v>
      </c>
      <c r="E51" s="15">
        <f>(F28-E28)*Industry!I12</f>
        <v>2213.8776702894293</v>
      </c>
      <c r="F51" s="15">
        <f>(G28-F28)*Industry!J12</f>
        <v>1408.1246361842</v>
      </c>
      <c r="G51" s="15">
        <f>(H28-G28)*Industry!K12</f>
        <v>850.07444597245922</v>
      </c>
      <c r="H51" s="15">
        <f>(I28-H28)*Industry!L12</f>
        <v>297.00072918554554</v>
      </c>
      <c r="I51" s="15">
        <f>(J28-I28)*Industry!M12</f>
        <v>363.71724609698077</v>
      </c>
      <c r="J51" s="15">
        <f>(K28-J28)*Industry!N12</f>
        <v>254.60207226788532</v>
      </c>
      <c r="K51" s="15"/>
      <c r="M51" t="s">
        <v>98</v>
      </c>
      <c r="N51" s="15">
        <f>SUM(D51:J51)</f>
        <v>6745.666498702195</v>
      </c>
    </row>
    <row r="52" spans="1:14">
      <c r="A52" t="s">
        <v>97</v>
      </c>
      <c r="D52" s="15">
        <f>(E29-D29)*Industry!H8/Industry!H9</f>
        <v>699.64603545600016</v>
      </c>
      <c r="E52" s="15">
        <f>(F29-E29)*Industry!I8/Industry!I9</f>
        <v>994.57216035840031</v>
      </c>
      <c r="F52" s="15">
        <f>(G29-F29)*Industry!J8/Industry!J9</f>
        <v>1441.4816609279994</v>
      </c>
      <c r="G52" s="15">
        <f>(H29-G29)*Industry!K8/Industry!K9</f>
        <v>729.78145689599955</v>
      </c>
      <c r="H52" s="15">
        <f>(I29-H29)*Industry!L8/Industry!L9</f>
        <v>729.78145689599955</v>
      </c>
      <c r="I52" s="15">
        <f>(J29-I29)*Industry!M8/Industry!M9</f>
        <v>364.89072844800029</v>
      </c>
      <c r="J52" s="15">
        <f>(K29-J29)*Industry!N8/Industry!N9</f>
        <v>364.89072844800029</v>
      </c>
      <c r="M52" t="s">
        <v>98</v>
      </c>
      <c r="N52" s="15">
        <f>SUM(D52:J52)</f>
        <v>5325.0442274303987</v>
      </c>
    </row>
    <row r="53" spans="1:14">
      <c r="A53" t="s">
        <v>79</v>
      </c>
      <c r="D53" s="15">
        <f>(E44-D44)*Industry!H14</f>
        <v>1950.4196963999998</v>
      </c>
      <c r="E53" s="15">
        <f>(F44-E44)*Industry!I14</f>
        <v>3899.2104199439991</v>
      </c>
      <c r="F53" s="15">
        <f>(G44-F44)*Industry!J14</f>
        <v>3972.5427223439979</v>
      </c>
      <c r="G53" s="15">
        <f>(H44-G44)*Industry!K14</f>
        <v>2825.6959408607991</v>
      </c>
      <c r="H53" s="15">
        <f>(I44-H44)*Industry!L14</f>
        <v>1977.9871586025597</v>
      </c>
      <c r="I53" s="15">
        <f>(J44-I44)*Industry!M14</f>
        <v>1384.5910110217897</v>
      </c>
      <c r="J53" s="15">
        <f>(K44-J44)*Industry!N14</f>
        <v>969.21370771525335</v>
      </c>
      <c r="M53" t="s">
        <v>98</v>
      </c>
      <c r="N53" s="15">
        <f>SUM(D53:J53)</f>
        <v>16979.660656888402</v>
      </c>
    </row>
    <row r="54" spans="1:14" s="12" customFormat="1">
      <c r="A54" s="12" t="s">
        <v>99</v>
      </c>
    </row>
    <row r="55" spans="1:14">
      <c r="A55" t="s">
        <v>103</v>
      </c>
      <c r="D55">
        <v>0</v>
      </c>
      <c r="E55">
        <v>0</v>
      </c>
      <c r="F55">
        <v>0</v>
      </c>
      <c r="G55" s="15">
        <f>(E28-D28)*Industry!K12</f>
        <v>465.88650665605354</v>
      </c>
      <c r="H55" s="15">
        <f>(F28-E28)*Industry!L12</f>
        <v>759.36004090927406</v>
      </c>
      <c r="I55" s="15">
        <f>(G28-F28)*Industry!M12</f>
        <v>482.98675021118049</v>
      </c>
      <c r="J55" s="15">
        <f>(H28-G28)*Industry!N12</f>
        <v>291.57553496855348</v>
      </c>
      <c r="M55" t="s">
        <v>98</v>
      </c>
      <c r="N55" s="15">
        <f>SUM(G55:J55)</f>
        <v>1999.8088327450616</v>
      </c>
    </row>
    <row r="56" spans="1:14">
      <c r="A56" t="s">
        <v>102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M56" t="s">
        <v>98</v>
      </c>
      <c r="N56" s="15">
        <f>SUM(G57:J57)</f>
        <v>4338.2189913852362</v>
      </c>
    </row>
    <row r="57" spans="1:14">
      <c r="A57" t="s">
        <v>101</v>
      </c>
      <c r="D57">
        <v>0</v>
      </c>
      <c r="E57">
        <v>0</v>
      </c>
      <c r="F57">
        <v>0</v>
      </c>
      <c r="G57" s="15">
        <f>(E44-D44)*Industry!K14</f>
        <v>668.99395586519984</v>
      </c>
      <c r="H57" s="15">
        <f>(F44-E44)*Industry!L14</f>
        <v>1337.4291740407914</v>
      </c>
      <c r="I57" s="15">
        <f>(G44-F44)*Industry!M14</f>
        <v>1362.5821537639911</v>
      </c>
      <c r="J57" s="15">
        <f>(H44-G44)*Industry!N14</f>
        <v>969.2137077152538</v>
      </c>
    </row>
    <row r="59" spans="1:14" s="23" customFormat="1" ht="20">
      <c r="A59" s="23" t="s">
        <v>100</v>
      </c>
      <c r="D59" s="25">
        <f>SUM(D51:D53)+SUM(D55:D57)</f>
        <v>4008.3354305616954</v>
      </c>
      <c r="E59" s="25">
        <f t="shared" ref="E59:J59" si="7">SUM(E51:E53)+SUM(E55:E57)</f>
        <v>7107.660250591829</v>
      </c>
      <c r="F59" s="25">
        <f t="shared" si="7"/>
        <v>6822.1490194561975</v>
      </c>
      <c r="G59" s="25">
        <f t="shared" si="7"/>
        <v>5540.4323062505109</v>
      </c>
      <c r="H59" s="25">
        <f t="shared" si="7"/>
        <v>5101.5585596341698</v>
      </c>
      <c r="I59" s="25">
        <f t="shared" si="7"/>
        <v>3958.7678895419422</v>
      </c>
      <c r="J59" s="25">
        <f t="shared" si="7"/>
        <v>2849.495751114946</v>
      </c>
      <c r="M59" s="23" t="s">
        <v>104</v>
      </c>
      <c r="N59" s="25">
        <f>SUM(D59:J59)</f>
        <v>35388.399207151291</v>
      </c>
    </row>
    <row r="63" spans="1:14" s="18" customFormat="1" ht="18">
      <c r="A63" s="18" t="s">
        <v>96</v>
      </c>
    </row>
    <row r="64" spans="1:14">
      <c r="A64" t="s">
        <v>92</v>
      </c>
      <c r="D64" s="15">
        <f>D28*Industry!H12</f>
        <v>0</v>
      </c>
      <c r="E64" s="15">
        <f>E28*Industry!I12</f>
        <v>950.78878909398691</v>
      </c>
      <c r="F64" s="15">
        <f>F28*Industry!J12</f>
        <v>2215.2665215683915</v>
      </c>
      <c r="G64" s="15">
        <f>G28*Industry!K12</f>
        <v>2536.3738104268136</v>
      </c>
      <c r="H64" s="15">
        <f>H28*Industry!L12</f>
        <v>2370.5137794794909</v>
      </c>
      <c r="I64" s="15">
        <f>I28*Industry!M12</f>
        <v>1867.2601560655255</v>
      </c>
      <c r="J64" s="15">
        <f>J28*Industry!N12</f>
        <v>1561.6841815137543</v>
      </c>
      <c r="K64" s="15">
        <f>K28*Industry!O12</f>
        <v>1271.4003776471477</v>
      </c>
    </row>
    <row r="65" spans="1:11">
      <c r="A65" t="s">
        <v>93</v>
      </c>
      <c r="D65" s="15">
        <f>D29*Industry!H8/Industry!H9</f>
        <v>0</v>
      </c>
      <c r="E65" s="15">
        <f>E29*Industry!I8/Industry!I9</f>
        <v>349.82301772800008</v>
      </c>
      <c r="F65" s="15">
        <f>F29*Industry!J8/Industry!J9</f>
        <v>1344.3951780864004</v>
      </c>
      <c r="G65" s="15">
        <f>G29*Industry!K8/Industry!K9</f>
        <v>1392.9384195072</v>
      </c>
      <c r="H65" s="15">
        <f>H29*Industry!L8/Industry!L9</f>
        <v>2122.7198764031996</v>
      </c>
      <c r="I65" s="15">
        <f>I29*Industry!M8/Industry!M9</f>
        <v>1426.2506666495997</v>
      </c>
      <c r="J65" s="15">
        <f>J29*Industry!N8/Industry!N9</f>
        <v>1791.1413950975998</v>
      </c>
      <c r="K65" s="15">
        <f>K29*Industry!O8/Industry!O9</f>
        <v>1078.0160617728002</v>
      </c>
    </row>
    <row r="66" spans="1:11">
      <c r="A66" t="s">
        <v>79</v>
      </c>
      <c r="D66" s="15">
        <f>D44*Industry!H14</f>
        <v>0</v>
      </c>
      <c r="E66" s="15">
        <f>E44*Industry!I14</f>
        <v>1365.2937874799995</v>
      </c>
      <c r="F66" s="15">
        <f>F44*Industry!J14</f>
        <v>3685.152945196799</v>
      </c>
      <c r="G66" s="15">
        <f>G44*Industry!K14</f>
        <v>5360.3869672785577</v>
      </c>
      <c r="H66" s="15">
        <f>H44*Industry!L14</f>
        <v>5730.2580356975486</v>
      </c>
      <c r="I66" s="15">
        <f>I44*Industry!M14</f>
        <v>5395.7716360100758</v>
      </c>
      <c r="J66" s="15">
        <f>J44*Industry!N14</f>
        <v>4746.2538529223057</v>
      </c>
      <c r="K66" s="15">
        <f>K44*Industry!O14</f>
        <v>4000.8272924462913</v>
      </c>
    </row>
    <row r="67" spans="1:11" s="18" customFormat="1" ht="18">
      <c r="A67" s="18" t="s">
        <v>94</v>
      </c>
      <c r="D67" s="19"/>
      <c r="E67" s="19">
        <f>SUM(E64:E66)</f>
        <v>2665.9055943019866</v>
      </c>
      <c r="F67" s="19">
        <f t="shared" ref="F67:K67" si="8">SUM(F64:F66)</f>
        <v>7244.8146448515909</v>
      </c>
      <c r="G67" s="19">
        <f t="shared" si="8"/>
        <v>9289.6991972125725</v>
      </c>
      <c r="H67" s="19">
        <f t="shared" si="8"/>
        <v>10223.491691580239</v>
      </c>
      <c r="I67" s="19">
        <f t="shared" si="8"/>
        <v>8689.2824587251998</v>
      </c>
      <c r="J67" s="19">
        <f t="shared" si="8"/>
        <v>8099.07942953366</v>
      </c>
      <c r="K67" s="19">
        <f t="shared" si="8"/>
        <v>6350.2437318662396</v>
      </c>
    </row>
    <row r="70" spans="1:11" s="12" customFormat="1">
      <c r="A70" s="12" t="s">
        <v>95</v>
      </c>
    </row>
    <row r="71" spans="1:11">
      <c r="A71" t="s">
        <v>92</v>
      </c>
      <c r="D71">
        <f>D28*Industry!$D$12</f>
        <v>0</v>
      </c>
      <c r="E71" s="15">
        <f>E28*Industry!$D$12</f>
        <v>5657.0999529600003</v>
      </c>
      <c r="F71" s="15">
        <f>F28*Industry!$D$12</f>
        <v>18829.454747328004</v>
      </c>
      <c r="G71" s="15">
        <f>G28*Industry!$D$12</f>
        <v>30798.316668672003</v>
      </c>
      <c r="H71" s="15">
        <f>H28*Industry!$D$12</f>
        <v>41120.478911232014</v>
      </c>
      <c r="I71" s="15">
        <f>I28*Industry!$D$12</f>
        <v>46272.447369216003</v>
      </c>
      <c r="J71" s="15">
        <f>J28*Industry!$D$12</f>
        <v>55285.699792896019</v>
      </c>
      <c r="K71" s="15">
        <f>K28*Industry!$D$12</f>
        <v>64298.952216575999</v>
      </c>
    </row>
    <row r="72" spans="1:11">
      <c r="A72" t="s">
        <v>93</v>
      </c>
      <c r="D72">
        <v>0</v>
      </c>
      <c r="E72" s="15">
        <f>E29*Industry!$D$8/Industry!$D$9</f>
        <v>3498.2301772800006</v>
      </c>
      <c r="F72" s="15">
        <f>F29*Industry!$D$8/Industry!$D$9</f>
        <v>13443.951780864003</v>
      </c>
      <c r="G72" s="15">
        <f>G29*Industry!$D$8/Industry!$D$9</f>
        <v>27858.768390144</v>
      </c>
      <c r="H72" s="15">
        <f>H29*Industry!$D$8/Industry!$D$9</f>
        <v>42454.397528063993</v>
      </c>
      <c r="I72" s="15">
        <f>I29*Industry!$D$8/Industry!$D$9</f>
        <v>57050.026665983984</v>
      </c>
      <c r="J72" s="15">
        <f>J29*Industry!$D$8/Industry!$D$9</f>
        <v>71645.655803903996</v>
      </c>
      <c r="K72" s="15">
        <f>K29*Industry!$D$8/Industry!$D$9</f>
        <v>86241.284941824008</v>
      </c>
    </row>
    <row r="73" spans="1:11">
      <c r="A73" t="s">
        <v>79</v>
      </c>
      <c r="D73">
        <v>0</v>
      </c>
      <c r="E73" s="15">
        <f>E44*Industry!$D$14</f>
        <v>8123.3640000000014</v>
      </c>
      <c r="F73" s="15">
        <f>F44*Industry!$D$14</f>
        <v>31323.283200000005</v>
      </c>
      <c r="G73" s="15">
        <f>G44*Industry!$D$14</f>
        <v>65089.339200000002</v>
      </c>
      <c r="H73" s="15">
        <f>H44*Industry!$D$14</f>
        <v>99400.795200000008</v>
      </c>
      <c r="I73" s="15">
        <f>I44*Industry!$D$14</f>
        <v>133712.25120000003</v>
      </c>
      <c r="J73" s="15">
        <f>J44*Industry!$D$14</f>
        <v>168023.70719999998</v>
      </c>
      <c r="K73" s="15">
        <f>K44*Industry!$D$14</f>
        <v>202335.16319999998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BaBar</vt:lpstr>
      <vt:lpstr>SBParams</vt:lpstr>
      <vt:lpstr>SBPerf</vt:lpstr>
      <vt:lpstr>Industry</vt:lpstr>
      <vt:lpstr>SBEstimates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Luitz</dc:creator>
  <cp:lastModifiedBy>Steffen Luitz</cp:lastModifiedBy>
  <dcterms:created xsi:type="dcterms:W3CDTF">2011-06-10T22:23:43Z</dcterms:created>
  <dcterms:modified xsi:type="dcterms:W3CDTF">2012-02-15T14:17:38Z</dcterms:modified>
</cp:coreProperties>
</file>