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7"/>
  <workbookPr/>
  <mc:AlternateContent xmlns:mc="http://schemas.openxmlformats.org/markup-compatibility/2006">
    <mc:Choice Requires="x15">
      <x15ac:absPath xmlns:x15ac="http://schemas.microsoft.com/office/spreadsheetml/2010/11/ac" url="/Users/ortona/Downloads/"/>
    </mc:Choice>
  </mc:AlternateContent>
  <xr:revisionPtr revIDLastSave="0" documentId="8_{2959B1E6-86F2-DA40-A45F-11ECBEA71F11}" xr6:coauthVersionLast="47" xr6:coauthVersionMax="47" xr10:uidLastSave="{00000000-0000-0000-0000-000000000000}"/>
  <bookViews>
    <workbookView xWindow="1500" yWindow="2080" windowWidth="22500" windowHeight="20320" activeTab="3" xr2:uid="{00000000-000D-0000-FFFF-FFFF00000000}"/>
  </bookViews>
  <sheets>
    <sheet name="Info e avvertimenti" sheetId="16" r:id="rId1"/>
    <sheet name="Simulatore" sheetId="7" r:id="rId2"/>
    <sheet name="Commenti e Caveat" sheetId="8" r:id="rId3"/>
    <sheet name="Calcolo Versamenti" sheetId="5" r:id="rId4"/>
    <sheet name="Calcoli Perseo" sheetId="6" r:id="rId5"/>
    <sheet name="Eta' assicurativa" sheetId="10" r:id="rId6"/>
    <sheet name="Opzione A" sheetId="11" r:id="rId7"/>
    <sheet name="Opzione B" sheetId="12" r:id="rId8"/>
    <sheet name="Opzione C" sheetId="13" r:id="rId9"/>
    <sheet name="Opzione E" sheetId="14" r:id="rId10"/>
    <sheet name="Opzione F" sheetId="15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4" i="6" l="1"/>
  <c r="I35" i="6"/>
  <c r="I36" i="6"/>
  <c r="I37" i="6"/>
  <c r="I38" i="6"/>
  <c r="I39" i="6"/>
  <c r="I40" i="6"/>
  <c r="I41" i="6"/>
  <c r="I42" i="6"/>
  <c r="I33" i="6"/>
  <c r="I26" i="6"/>
  <c r="I27" i="6"/>
  <c r="I28" i="6"/>
  <c r="I29" i="6"/>
  <c r="I30" i="6"/>
  <c r="I31" i="6"/>
  <c r="I32" i="6"/>
  <c r="I25" i="6"/>
  <c r="I21" i="6"/>
  <c r="I22" i="6"/>
  <c r="I23" i="6"/>
  <c r="I24" i="6"/>
  <c r="I20" i="6"/>
  <c r="I17" i="6"/>
  <c r="I18" i="6"/>
  <c r="I19" i="6"/>
  <c r="I16" i="6"/>
  <c r="I12" i="6"/>
  <c r="I13" i="6"/>
  <c r="I14" i="6"/>
  <c r="I15" i="6"/>
  <c r="I11" i="6"/>
  <c r="I7" i="6"/>
  <c r="I8" i="6"/>
  <c r="I9" i="6"/>
  <c r="I10" i="6"/>
  <c r="I6" i="6"/>
  <c r="I4" i="6"/>
  <c r="I5" i="6"/>
  <c r="I3" i="6"/>
  <c r="H34" i="6"/>
  <c r="H35" i="6"/>
  <c r="H36" i="6"/>
  <c r="H37" i="6"/>
  <c r="H38" i="6"/>
  <c r="H39" i="6"/>
  <c r="H40" i="6"/>
  <c r="H41" i="6"/>
  <c r="H42" i="6"/>
  <c r="H33" i="6"/>
  <c r="H26" i="6"/>
  <c r="H27" i="6"/>
  <c r="H28" i="6"/>
  <c r="H29" i="6"/>
  <c r="H30" i="6"/>
  <c r="H31" i="6"/>
  <c r="H32" i="6"/>
  <c r="H25" i="6"/>
  <c r="H21" i="6"/>
  <c r="H22" i="6"/>
  <c r="H23" i="6"/>
  <c r="H24" i="6"/>
  <c r="H20" i="6"/>
  <c r="H17" i="6"/>
  <c r="H18" i="6"/>
  <c r="H19" i="6"/>
  <c r="H16" i="6"/>
  <c r="H12" i="6"/>
  <c r="H13" i="6"/>
  <c r="H14" i="6"/>
  <c r="H15" i="6"/>
  <c r="H11" i="6"/>
  <c r="H4" i="6"/>
  <c r="H5" i="6"/>
  <c r="H6" i="6"/>
  <c r="H7" i="6"/>
  <c r="H8" i="6"/>
  <c r="H9" i="6"/>
  <c r="H10" i="6"/>
  <c r="H3" i="6"/>
  <c r="G34" i="6"/>
  <c r="G35" i="6"/>
  <c r="G36" i="6"/>
  <c r="G37" i="6"/>
  <c r="G38" i="6"/>
  <c r="G39" i="6"/>
  <c r="G40" i="6"/>
  <c r="G41" i="6"/>
  <c r="G42" i="6"/>
  <c r="G33" i="6"/>
  <c r="G26" i="6"/>
  <c r="G27" i="6"/>
  <c r="G28" i="6"/>
  <c r="G29" i="6"/>
  <c r="G30" i="6"/>
  <c r="G31" i="6"/>
  <c r="G32" i="6"/>
  <c r="G25" i="6"/>
  <c r="G21" i="6"/>
  <c r="G22" i="6"/>
  <c r="G23" i="6"/>
  <c r="G24" i="6"/>
  <c r="G20" i="6"/>
  <c r="G17" i="6"/>
  <c r="G18" i="6"/>
  <c r="G19" i="6"/>
  <c r="G16" i="6"/>
  <c r="G12" i="6"/>
  <c r="G13" i="6"/>
  <c r="G14" i="6"/>
  <c r="G15" i="6"/>
  <c r="G11" i="6"/>
  <c r="G7" i="6"/>
  <c r="G8" i="6"/>
  <c r="G9" i="6"/>
  <c r="G10" i="6"/>
  <c r="G6" i="6"/>
  <c r="G4" i="6"/>
  <c r="G5" i="6"/>
  <c r="G3" i="6"/>
  <c r="C51" i="5"/>
  <c r="H59" i="7"/>
  <c r="H58" i="7"/>
  <c r="D4" i="5" l="1"/>
  <c r="E4" i="5"/>
  <c r="F4" i="5"/>
  <c r="G4" i="5"/>
  <c r="D5" i="5"/>
  <c r="E5" i="5"/>
  <c r="F5" i="5"/>
  <c r="G5" i="5"/>
  <c r="D6" i="5"/>
  <c r="E6" i="5"/>
  <c r="E7" i="5" s="1"/>
  <c r="E8" i="5" s="1"/>
  <c r="E9" i="5" s="1"/>
  <c r="E10" i="5" s="1"/>
  <c r="E11" i="5" s="1"/>
  <c r="F6" i="5"/>
  <c r="F7" i="5" s="1"/>
  <c r="F8" i="5" s="1"/>
  <c r="F9" i="5" s="1"/>
  <c r="F10" i="5" s="1"/>
  <c r="F11" i="5" s="1"/>
  <c r="G6" i="5"/>
  <c r="J4" i="5"/>
  <c r="K4" i="5"/>
  <c r="J5" i="5"/>
  <c r="K5" i="5"/>
  <c r="J6" i="5"/>
  <c r="K6" i="5"/>
  <c r="K3" i="5"/>
  <c r="J3" i="5"/>
  <c r="G3" i="5"/>
  <c r="F3" i="5"/>
  <c r="E3" i="5"/>
  <c r="D3" i="5"/>
  <c r="C5" i="6"/>
  <c r="D5" i="6"/>
  <c r="E5" i="6"/>
  <c r="F5" i="6"/>
  <c r="C6" i="6"/>
  <c r="D6" i="6"/>
  <c r="E6" i="6"/>
  <c r="F6" i="6"/>
  <c r="C7" i="6"/>
  <c r="D7" i="6"/>
  <c r="E7" i="6"/>
  <c r="F7" i="6"/>
  <c r="F4" i="6"/>
  <c r="E4" i="6"/>
  <c r="D4" i="6"/>
  <c r="C4" i="6"/>
  <c r="L7" i="6"/>
  <c r="C3" i="6"/>
  <c r="D3" i="6"/>
  <c r="E3" i="6"/>
  <c r="F3" i="6"/>
  <c r="B3" i="5"/>
  <c r="B4" i="5"/>
  <c r="B5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2" i="5"/>
  <c r="F12" i="5" l="1"/>
  <c r="F13" i="5" s="1"/>
  <c r="F14" i="5" s="1"/>
  <c r="F15" i="5" s="1"/>
  <c r="F16" i="5" s="1"/>
  <c r="F17" i="5" s="1"/>
  <c r="E12" i="5"/>
  <c r="E13" i="5" s="1"/>
  <c r="E14" i="5" s="1"/>
  <c r="E15" i="5" s="1"/>
  <c r="F18" i="5"/>
  <c r="F19" i="5" s="1"/>
  <c r="F20" i="5" s="1"/>
  <c r="F21" i="5" s="1"/>
  <c r="F22" i="5" s="1"/>
  <c r="F23" i="5" s="1"/>
  <c r="F24" i="5" s="1"/>
  <c r="F25" i="5" s="1"/>
  <c r="F26" i="5" s="1"/>
  <c r="F27" i="5" s="1"/>
  <c r="F28" i="5" s="1"/>
  <c r="F29" i="5" s="1"/>
  <c r="F30" i="5" s="1"/>
  <c r="F31" i="5" s="1"/>
  <c r="F32" i="5" s="1"/>
  <c r="F33" i="5" s="1"/>
  <c r="F34" i="5" s="1"/>
  <c r="F35" i="5" s="1"/>
  <c r="F36" i="5" s="1"/>
  <c r="F37" i="5" s="1"/>
  <c r="F38" i="5" s="1"/>
  <c r="F39" i="5" s="1"/>
  <c r="F40" i="5" s="1"/>
  <c r="F41" i="5" s="1"/>
  <c r="J7" i="5"/>
  <c r="J8" i="5" s="1"/>
  <c r="J9" i="5" s="1"/>
  <c r="J10" i="5" s="1"/>
  <c r="J11" i="5" s="1"/>
  <c r="J12" i="5" s="1"/>
  <c r="J13" i="5" s="1"/>
  <c r="J14" i="5" s="1"/>
  <c r="J15" i="5" s="1"/>
  <c r="J16" i="5" s="1"/>
  <c r="J17" i="5" s="1"/>
  <c r="J18" i="5" s="1"/>
  <c r="J19" i="5" s="1"/>
  <c r="J20" i="5" s="1"/>
  <c r="J21" i="5" s="1"/>
  <c r="J22" i="5" s="1"/>
  <c r="J23" i="5" s="1"/>
  <c r="J24" i="5" s="1"/>
  <c r="J25" i="5" s="1"/>
  <c r="J26" i="5" s="1"/>
  <c r="J27" i="5" s="1"/>
  <c r="J28" i="5" s="1"/>
  <c r="J29" i="5" s="1"/>
  <c r="J30" i="5" s="1"/>
  <c r="J31" i="5" s="1"/>
  <c r="J32" i="5" s="1"/>
  <c r="J33" i="5" s="1"/>
  <c r="J34" i="5" s="1"/>
  <c r="J35" i="5" s="1"/>
  <c r="J36" i="5" s="1"/>
  <c r="J37" i="5" s="1"/>
  <c r="J38" i="5" s="1"/>
  <c r="J39" i="5" s="1"/>
  <c r="J40" i="5" s="1"/>
  <c r="J41" i="5" s="1"/>
  <c r="E16" i="5"/>
  <c r="E17" i="5" s="1"/>
  <c r="E18" i="5" s="1"/>
  <c r="E19" i="5" s="1"/>
  <c r="E20" i="5" s="1"/>
  <c r="E21" i="5" s="1"/>
  <c r="E22" i="5" s="1"/>
  <c r="E23" i="5" s="1"/>
  <c r="E24" i="5" s="1"/>
  <c r="E25" i="5" s="1"/>
  <c r="E26" i="5" s="1"/>
  <c r="E27" i="5" s="1"/>
  <c r="E28" i="5" s="1"/>
  <c r="E29" i="5" s="1"/>
  <c r="E30" i="5" s="1"/>
  <c r="E31" i="5" s="1"/>
  <c r="E32" i="5" s="1"/>
  <c r="E33" i="5" s="1"/>
  <c r="E34" i="5" s="1"/>
  <c r="E35" i="5" s="1"/>
  <c r="E36" i="5" s="1"/>
  <c r="E37" i="5" s="1"/>
  <c r="E38" i="5" s="1"/>
  <c r="E39" i="5" s="1"/>
  <c r="E40" i="5" s="1"/>
  <c r="E41" i="5" s="1"/>
  <c r="K7" i="5"/>
  <c r="K8" i="5" s="1"/>
  <c r="K9" i="5" s="1"/>
  <c r="K10" i="5" s="1"/>
  <c r="K11" i="5" s="1"/>
  <c r="K12" i="5" s="1"/>
  <c r="K13" i="5" s="1"/>
  <c r="K14" i="5" s="1"/>
  <c r="K15" i="5" s="1"/>
  <c r="K16" i="5" s="1"/>
  <c r="K17" i="5" s="1"/>
  <c r="K18" i="5" s="1"/>
  <c r="K19" i="5" s="1"/>
  <c r="K20" i="5" s="1"/>
  <c r="K21" i="5" s="1"/>
  <c r="K22" i="5" s="1"/>
  <c r="K23" i="5" s="1"/>
  <c r="K24" i="5" s="1"/>
  <c r="K25" i="5" s="1"/>
  <c r="K26" i="5" s="1"/>
  <c r="K27" i="5" s="1"/>
  <c r="K28" i="5" s="1"/>
  <c r="K29" i="5" s="1"/>
  <c r="K30" i="5" s="1"/>
  <c r="K31" i="5" s="1"/>
  <c r="K32" i="5" s="1"/>
  <c r="K33" i="5" s="1"/>
  <c r="K34" i="5" s="1"/>
  <c r="K35" i="5" s="1"/>
  <c r="K36" i="5" s="1"/>
  <c r="K37" i="5" s="1"/>
  <c r="K38" i="5" s="1"/>
  <c r="K39" i="5" s="1"/>
  <c r="K40" i="5" s="1"/>
  <c r="K41" i="5" s="1"/>
  <c r="A39" i="6"/>
  <c r="C39" i="5"/>
  <c r="B40" i="6" s="1"/>
  <c r="A41" i="6"/>
  <c r="A42" i="6"/>
  <c r="F14" i="7"/>
  <c r="L9" i="6"/>
  <c r="K2" i="5"/>
  <c r="G2" i="5"/>
  <c r="D2" i="5"/>
  <c r="J2" i="5"/>
  <c r="F2" i="5"/>
  <c r="E2" i="5"/>
  <c r="L12" i="6" a="1"/>
  <c r="L12" i="6" l="1"/>
  <c r="C41" i="5"/>
  <c r="B42" i="6" s="1"/>
  <c r="G41" i="5" s="1"/>
  <c r="C40" i="5"/>
  <c r="B41" i="6" s="1"/>
  <c r="G40" i="5" s="1"/>
  <c r="C38" i="5"/>
  <c r="B39" i="6" s="1"/>
  <c r="G38" i="5" s="1"/>
  <c r="A40" i="6"/>
  <c r="G39" i="5" s="1"/>
  <c r="L14" i="6" a="1"/>
  <c r="L14" i="6" l="1"/>
  <c r="L38" i="5"/>
  <c r="L41" i="5" l="1"/>
  <c r="L40" i="5"/>
  <c r="L39" i="5"/>
  <c r="L4" i="6" l="1"/>
  <c r="L3" i="6"/>
  <c r="A3" i="6"/>
  <c r="C2" i="5" l="1"/>
  <c r="L2" i="5" l="1"/>
  <c r="A4" i="6"/>
  <c r="B3" i="6"/>
  <c r="C3" i="5"/>
  <c r="B4" i="6" s="1"/>
  <c r="L3" i="5" l="1"/>
  <c r="A5" i="6"/>
  <c r="H2" i="5"/>
  <c r="C4" i="5"/>
  <c r="B5" i="6" l="1"/>
  <c r="A6" i="6"/>
  <c r="L4" i="5"/>
  <c r="H3" i="5"/>
  <c r="I2" i="5"/>
  <c r="I3" i="5"/>
  <c r="A7" i="6"/>
  <c r="C5" i="5"/>
  <c r="B6" i="6" s="1"/>
  <c r="L5" i="5" l="1"/>
  <c r="A8" i="6"/>
  <c r="C6" i="5"/>
  <c r="C8" i="6" l="1"/>
  <c r="E8" i="6"/>
  <c r="H4" i="5"/>
  <c r="I4" i="5"/>
  <c r="L6" i="5"/>
  <c r="H5" i="5"/>
  <c r="I5" i="5"/>
  <c r="B7" i="6"/>
  <c r="A9" i="6"/>
  <c r="C7" i="5"/>
  <c r="B8" i="6" l="1"/>
  <c r="D7" i="5"/>
  <c r="E9" i="6"/>
  <c r="C9" i="6"/>
  <c r="L7" i="5"/>
  <c r="C8" i="5"/>
  <c r="D8" i="5" l="1"/>
  <c r="D8" i="6"/>
  <c r="H7" i="5" s="1"/>
  <c r="F8" i="6"/>
  <c r="I7" i="5" s="1"/>
  <c r="G7" i="5"/>
  <c r="I6" i="5"/>
  <c r="B9" i="6"/>
  <c r="G8" i="5" s="1"/>
  <c r="L8" i="5"/>
  <c r="H6" i="5"/>
  <c r="A10" i="6"/>
  <c r="A11" i="6"/>
  <c r="C9" i="5"/>
  <c r="B10" i="6" s="1"/>
  <c r="D9" i="6" l="1"/>
  <c r="D10" i="6" s="1"/>
  <c r="G9" i="5"/>
  <c r="F9" i="6"/>
  <c r="F10" i="6" s="1"/>
  <c r="E10" i="6"/>
  <c r="E11" i="6" s="1"/>
  <c r="C10" i="6"/>
  <c r="C11" i="6" s="1"/>
  <c r="D9" i="5"/>
  <c r="L9" i="5"/>
  <c r="L10" i="5"/>
  <c r="A12" i="6"/>
  <c r="C10" i="5"/>
  <c r="B11" i="6" s="1"/>
  <c r="G10" i="5" s="1"/>
  <c r="H9" i="5" l="1"/>
  <c r="C12" i="6"/>
  <c r="E12" i="6"/>
  <c r="D10" i="5"/>
  <c r="F11" i="6"/>
  <c r="D11" i="6"/>
  <c r="H8" i="5"/>
  <c r="I8" i="5"/>
  <c r="I9" i="5"/>
  <c r="A13" i="6"/>
  <c r="C11" i="5"/>
  <c r="B12" i="6" s="1"/>
  <c r="G11" i="5" s="1"/>
  <c r="D11" i="5" l="1"/>
  <c r="E13" i="6"/>
  <c r="D12" i="6"/>
  <c r="H11" i="5" s="1"/>
  <c r="F12" i="6"/>
  <c r="C13" i="6"/>
  <c r="L11" i="5"/>
  <c r="H10" i="5"/>
  <c r="I10" i="5"/>
  <c r="A14" i="6"/>
  <c r="C12" i="5"/>
  <c r="B13" i="6" s="1"/>
  <c r="G12" i="5" s="1"/>
  <c r="D13" i="6" l="1"/>
  <c r="H12" i="5" s="1"/>
  <c r="C14" i="6"/>
  <c r="F13" i="6"/>
  <c r="E14" i="6"/>
  <c r="D12" i="5"/>
  <c r="L12" i="5"/>
  <c r="I11" i="5"/>
  <c r="A15" i="6"/>
  <c r="C13" i="5"/>
  <c r="B14" i="6" s="1"/>
  <c r="G13" i="5" s="1"/>
  <c r="E15" i="6" l="1"/>
  <c r="D13" i="5"/>
  <c r="C15" i="6"/>
  <c r="F14" i="6"/>
  <c r="D14" i="6"/>
  <c r="L13" i="5"/>
  <c r="I12" i="5"/>
  <c r="A16" i="6"/>
  <c r="C14" i="5"/>
  <c r="B15" i="6" s="1"/>
  <c r="G14" i="5" s="1"/>
  <c r="F15" i="6" l="1"/>
  <c r="I13" i="5"/>
  <c r="D14" i="5"/>
  <c r="D15" i="6"/>
  <c r="H14" i="5" s="1"/>
  <c r="C16" i="6"/>
  <c r="E16" i="6"/>
  <c r="L14" i="5"/>
  <c r="H13" i="5"/>
  <c r="A17" i="6"/>
  <c r="C15" i="5"/>
  <c r="B16" i="6" s="1"/>
  <c r="G15" i="5" s="1"/>
  <c r="D16" i="6" l="1"/>
  <c r="E17" i="6"/>
  <c r="C17" i="6"/>
  <c r="D15" i="5"/>
  <c r="F16" i="6"/>
  <c r="L15" i="5"/>
  <c r="I14" i="5"/>
  <c r="A18" i="6"/>
  <c r="C16" i="5"/>
  <c r="B17" i="6" s="1"/>
  <c r="G16" i="5" s="1"/>
  <c r="C18" i="6" l="1"/>
  <c r="F17" i="6"/>
  <c r="D17" i="6"/>
  <c r="H16" i="5" s="1"/>
  <c r="D16" i="5"/>
  <c r="E18" i="6"/>
  <c r="L16" i="5"/>
  <c r="I15" i="5"/>
  <c r="H15" i="5"/>
  <c r="L17" i="5"/>
  <c r="A19" i="6"/>
  <c r="C17" i="5"/>
  <c r="B18" i="6" s="1"/>
  <c r="G17" i="5" s="1"/>
  <c r="D17" i="5" l="1"/>
  <c r="D18" i="6"/>
  <c r="H17" i="5" s="1"/>
  <c r="E19" i="6"/>
  <c r="F18" i="6"/>
  <c r="C19" i="6"/>
  <c r="I16" i="5"/>
  <c r="L18" i="5"/>
  <c r="A20" i="6"/>
  <c r="C18" i="5"/>
  <c r="B19" i="6" s="1"/>
  <c r="G18" i="5" s="1"/>
  <c r="E20" i="6" l="1"/>
  <c r="F19" i="6"/>
  <c r="C20" i="6"/>
  <c r="D19" i="6"/>
  <c r="D18" i="5"/>
  <c r="I17" i="5"/>
  <c r="A21" i="6"/>
  <c r="C19" i="5"/>
  <c r="B20" i="6" s="1"/>
  <c r="G19" i="5" s="1"/>
  <c r="D20" i="6" l="1"/>
  <c r="D19" i="5"/>
  <c r="F20" i="6"/>
  <c r="C21" i="6"/>
  <c r="E21" i="6"/>
  <c r="H19" i="5"/>
  <c r="L19" i="5"/>
  <c r="I18" i="5"/>
  <c r="H18" i="5"/>
  <c r="A22" i="6"/>
  <c r="C20" i="5"/>
  <c r="C22" i="6" l="1"/>
  <c r="E22" i="6"/>
  <c r="D20" i="5"/>
  <c r="B21" i="6"/>
  <c r="G20" i="5" s="1"/>
  <c r="L20" i="5"/>
  <c r="I19" i="5"/>
  <c r="A23" i="6"/>
  <c r="C21" i="5"/>
  <c r="B22" i="6" s="1"/>
  <c r="G21" i="5" s="1"/>
  <c r="D21" i="5" l="1"/>
  <c r="E23" i="6"/>
  <c r="F21" i="6"/>
  <c r="F22" i="6" s="1"/>
  <c r="D21" i="6"/>
  <c r="D22" i="6" s="1"/>
  <c r="C23" i="6"/>
  <c r="L21" i="5"/>
  <c r="A24" i="6"/>
  <c r="C22" i="5"/>
  <c r="B23" i="6" s="1"/>
  <c r="G22" i="5" s="1"/>
  <c r="D23" i="6" l="1"/>
  <c r="H22" i="5" s="1"/>
  <c r="C24" i="6"/>
  <c r="E24" i="6"/>
  <c r="H21" i="5"/>
  <c r="F23" i="6"/>
  <c r="D22" i="5"/>
  <c r="H20" i="5"/>
  <c r="I20" i="5"/>
  <c r="L22" i="5"/>
  <c r="I21" i="5"/>
  <c r="A25" i="6"/>
  <c r="C23" i="5"/>
  <c r="B24" i="6" s="1"/>
  <c r="D24" i="6" s="1"/>
  <c r="L23" i="5"/>
  <c r="F24" i="6" l="1"/>
  <c r="E25" i="6"/>
  <c r="D23" i="5"/>
  <c r="G23" i="5"/>
  <c r="C25" i="6"/>
  <c r="H23" i="5"/>
  <c r="I22" i="5"/>
  <c r="A26" i="6"/>
  <c r="C24" i="5"/>
  <c r="B25" i="6" s="1"/>
  <c r="D25" i="6" s="1"/>
  <c r="C26" i="6" l="1"/>
  <c r="E26" i="6"/>
  <c r="D24" i="5"/>
  <c r="G24" i="5"/>
  <c r="F25" i="6"/>
  <c r="H24" i="5"/>
  <c r="L24" i="5"/>
  <c r="I23" i="5"/>
  <c r="A27" i="6"/>
  <c r="C25" i="5"/>
  <c r="B26" i="6" s="1"/>
  <c r="D26" i="6" s="1"/>
  <c r="E27" i="6" l="1"/>
  <c r="F26" i="6"/>
  <c r="G25" i="5"/>
  <c r="D25" i="5"/>
  <c r="C27" i="6"/>
  <c r="H25" i="5"/>
  <c r="L25" i="5"/>
  <c r="I24" i="5"/>
  <c r="A28" i="6"/>
  <c r="C26" i="5"/>
  <c r="B27" i="6" s="1"/>
  <c r="D27" i="6" s="1"/>
  <c r="C28" i="6" l="1"/>
  <c r="G26" i="5"/>
  <c r="D26" i="5"/>
  <c r="F27" i="6"/>
  <c r="E28" i="6"/>
  <c r="L26" i="5"/>
  <c r="I25" i="5"/>
  <c r="A29" i="6"/>
  <c r="C27" i="5"/>
  <c r="B28" i="6" s="1"/>
  <c r="D28" i="6" s="1"/>
  <c r="L27" i="5"/>
  <c r="F28" i="6" l="1"/>
  <c r="E29" i="6"/>
  <c r="G27" i="5"/>
  <c r="D27" i="5"/>
  <c r="C29" i="6"/>
  <c r="H27" i="5"/>
  <c r="I26" i="5"/>
  <c r="H26" i="5"/>
  <c r="A30" i="6"/>
  <c r="C28" i="5"/>
  <c r="B29" i="6" s="1"/>
  <c r="D29" i="6" s="1"/>
  <c r="C30" i="6" l="1"/>
  <c r="G28" i="5"/>
  <c r="D28" i="5"/>
  <c r="E30" i="6"/>
  <c r="F29" i="6"/>
  <c r="L28" i="5"/>
  <c r="I27" i="5"/>
  <c r="A31" i="6"/>
  <c r="C29" i="5"/>
  <c r="B30" i="6" s="1"/>
  <c r="D30" i="6" s="1"/>
  <c r="L29" i="5"/>
  <c r="E31" i="6" l="1"/>
  <c r="D29" i="5"/>
  <c r="C31" i="6"/>
  <c r="F30" i="6"/>
  <c r="G29" i="5"/>
  <c r="I28" i="5"/>
  <c r="H28" i="5"/>
  <c r="A32" i="6"/>
  <c r="C30" i="5"/>
  <c r="B31" i="6" s="1"/>
  <c r="D31" i="6" s="1"/>
  <c r="C32" i="6" l="1"/>
  <c r="F31" i="6"/>
  <c r="G30" i="5"/>
  <c r="D30" i="5"/>
  <c r="E32" i="6"/>
  <c r="H29" i="5"/>
  <c r="L30" i="5"/>
  <c r="I29" i="5"/>
  <c r="A33" i="6"/>
  <c r="C31" i="5"/>
  <c r="B32" i="6" s="1"/>
  <c r="D32" i="6" s="1"/>
  <c r="E33" i="6" l="1"/>
  <c r="G31" i="5"/>
  <c r="C33" i="6"/>
  <c r="D31" i="5"/>
  <c r="F32" i="6"/>
  <c r="L31" i="5"/>
  <c r="I30" i="5"/>
  <c r="H31" i="5"/>
  <c r="H30" i="5"/>
  <c r="A34" i="6"/>
  <c r="C32" i="5"/>
  <c r="B33" i="6" s="1"/>
  <c r="D33" i="6" s="1"/>
  <c r="C34" i="6" l="1"/>
  <c r="F33" i="6"/>
  <c r="D32" i="5"/>
  <c r="E34" i="6"/>
  <c r="G32" i="5"/>
  <c r="L32" i="5"/>
  <c r="I31" i="5"/>
  <c r="A35" i="6"/>
  <c r="C33" i="5"/>
  <c r="B34" i="6" s="1"/>
  <c r="D34" i="6" s="1"/>
  <c r="L33" i="5"/>
  <c r="D33" i="5" l="1"/>
  <c r="F34" i="6"/>
  <c r="E35" i="6"/>
  <c r="G33" i="5"/>
  <c r="C35" i="6"/>
  <c r="I32" i="5"/>
  <c r="H33" i="5"/>
  <c r="H32" i="5"/>
  <c r="L34" i="5"/>
  <c r="A36" i="6"/>
  <c r="C34" i="5"/>
  <c r="B35" i="6" s="1"/>
  <c r="D35" i="6" s="1"/>
  <c r="E36" i="6" l="1"/>
  <c r="D34" i="5"/>
  <c r="C36" i="6"/>
  <c r="F35" i="6"/>
  <c r="G34" i="5"/>
  <c r="I33" i="5"/>
  <c r="A37" i="6"/>
  <c r="C35" i="5"/>
  <c r="B36" i="6" s="1"/>
  <c r="D36" i="6" s="1"/>
  <c r="C37" i="6" l="1"/>
  <c r="F36" i="6"/>
  <c r="G35" i="5"/>
  <c r="D35" i="5"/>
  <c r="E37" i="6"/>
  <c r="L35" i="5"/>
  <c r="I34" i="5"/>
  <c r="H35" i="5"/>
  <c r="H34" i="5"/>
  <c r="A38" i="6"/>
  <c r="C36" i="5"/>
  <c r="B37" i="6" s="1"/>
  <c r="D37" i="6" s="1"/>
  <c r="G38" i="7" a="1"/>
  <c r="D36" i="5" l="1"/>
  <c r="E38" i="6"/>
  <c r="E39" i="6" s="1"/>
  <c r="E40" i="6" s="1"/>
  <c r="E41" i="6" s="1"/>
  <c r="E42" i="6" s="1"/>
  <c r="G36" i="5"/>
  <c r="F37" i="6"/>
  <c r="C38" i="6"/>
  <c r="C39" i="6" s="1"/>
  <c r="C40" i="6" s="1"/>
  <c r="C41" i="6" s="1"/>
  <c r="C42" i="6" s="1"/>
  <c r="G38" i="7"/>
  <c r="L36" i="5"/>
  <c r="L37" i="5"/>
  <c r="I35" i="5"/>
  <c r="C37" i="5"/>
  <c r="B38" i="6" s="1"/>
  <c r="D38" i="6" s="1"/>
  <c r="D39" i="6" s="1"/>
  <c r="D40" i="6" s="1"/>
  <c r="D41" i="6" s="1"/>
  <c r="D42" i="6" s="1"/>
  <c r="F38" i="6" l="1"/>
  <c r="F39" i="6" s="1"/>
  <c r="F40" i="6" s="1"/>
  <c r="F41" i="6" s="1"/>
  <c r="F42" i="6" s="1"/>
  <c r="G37" i="5"/>
  <c r="D37" i="5"/>
  <c r="D38" i="5" s="1"/>
  <c r="D39" i="5" s="1"/>
  <c r="D40" i="5" s="1"/>
  <c r="D41" i="5" s="1"/>
  <c r="H38" i="5"/>
  <c r="H37" i="5"/>
  <c r="I36" i="5"/>
  <c r="H36" i="5"/>
  <c r="C49" i="5" a="1"/>
  <c r="C49" i="5" l="1"/>
  <c r="C50" i="5" s="1"/>
  <c r="C53" i="5" s="1"/>
  <c r="H39" i="5"/>
  <c r="I39" i="5"/>
  <c r="I38" i="5"/>
  <c r="I37" i="5"/>
  <c r="C52" i="5" l="1"/>
  <c r="H41" i="5"/>
  <c r="H40" i="5"/>
  <c r="I41" i="5"/>
  <c r="I40" i="5"/>
  <c r="G49" i="5" a="1"/>
  <c r="H49" i="5" a="1"/>
  <c r="C54" i="5" l="1"/>
  <c r="G37" i="7"/>
  <c r="H49" i="5"/>
  <c r="H57" i="5" s="1"/>
  <c r="J59" i="7" s="1"/>
  <c r="G49" i="5"/>
  <c r="G57" i="5" s="1"/>
  <c r="O58" i="7" s="1"/>
  <c r="D59" i="7" l="1"/>
  <c r="O59" i="7"/>
  <c r="D58" i="7"/>
  <c r="J58" i="7"/>
  <c r="H53" i="5"/>
  <c r="H50" i="5"/>
  <c r="H51" i="5" s="1"/>
  <c r="G53" i="5"/>
  <c r="G50" i="5"/>
  <c r="G51" i="5" s="1"/>
  <c r="H58" i="5" l="1"/>
  <c r="G58" i="5"/>
  <c r="G44" i="7"/>
  <c r="G40" i="7"/>
  <c r="G60" i="5" a="1"/>
  <c r="H54" i="5" a="1"/>
  <c r="G54" i="5" a="1"/>
  <c r="H60" i="5" a="1"/>
  <c r="H54" i="5" l="1"/>
  <c r="G46" i="7" s="1"/>
  <c r="H52" i="5"/>
  <c r="G45" i="7" s="1"/>
  <c r="G54" i="5"/>
  <c r="G42" i="7" s="1"/>
  <c r="G52" i="5"/>
  <c r="G41" i="7" s="1"/>
  <c r="G60" i="5"/>
  <c r="G51" i="7" s="1"/>
  <c r="H60" i="5"/>
  <c r="G56" i="7" s="1"/>
  <c r="G59" i="5"/>
  <c r="G50" i="7" s="1"/>
  <c r="H59" i="5"/>
  <c r="G55" i="7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<sst xmlns="http://schemas.openxmlformats.org/spreadsheetml/2006/main" count="226" uniqueCount="161">
  <si>
    <t>imponibile lordo</t>
  </si>
  <si>
    <t>versamento TFR</t>
  </si>
  <si>
    <t>Base imponibile</t>
  </si>
  <si>
    <t>Inflazione</t>
  </si>
  <si>
    <t>crescita stipendio</t>
  </si>
  <si>
    <t>Anni di servizio</t>
  </si>
  <si>
    <t>Versamenti aderente</t>
  </si>
  <si>
    <t>TFR rivalutato INPS</t>
  </si>
  <si>
    <t>Rendimento Garant</t>
  </si>
  <si>
    <t>rendimento Bilanc</t>
  </si>
  <si>
    <t>Posizione Rivalutata Bilanciata</t>
  </si>
  <si>
    <t>Posizione Rivalutata Garantita</t>
  </si>
  <si>
    <t>Deduzione Perseo</t>
  </si>
  <si>
    <t>NB: Assumo che sia rivalutazione INPS che calcolo interessi avvenga A INIZIO ANNO PER LE SOMME RIFERITE ALL'ANNO PRECEDENTE!</t>
  </si>
  <si>
    <t>NB: NON TENGO CONTO DELLA TASSAZIONE SUI RENDIMENTI FINANZIARI (perche' sono pochi e perche' dipendono da su cosa investe PERSEO)</t>
  </si>
  <si>
    <t>Cross-check: con 33 anni di servizio, in queste condizioni</t>
  </si>
  <si>
    <t>Foglio xcel</t>
  </si>
  <si>
    <t>Simulatore Perseo</t>
  </si>
  <si>
    <t>Probabilmente la differenza e' dovuta al fatto che faccio ricalcolo su base annuale</t>
  </si>
  <si>
    <t>Restituzione INPS</t>
  </si>
  <si>
    <t>TFR NETTO INPS</t>
  </si>
  <si>
    <t>Rata ann. Lorda</t>
  </si>
  <si>
    <t>Rata ann. Netta</t>
  </si>
  <si>
    <t>Restituzione Perseo 50%</t>
  </si>
  <si>
    <t>Rata mensile</t>
  </si>
  <si>
    <t>Restituzione capitale</t>
  </si>
  <si>
    <t>TFR totale</t>
  </si>
  <si>
    <t>Posizione Totale</t>
  </si>
  <si>
    <t>Restituzione Perseo 0%</t>
  </si>
  <si>
    <t>DeltaY INPS</t>
  </si>
  <si>
    <t>Tengo invece conto della tassazione sulla rivalutazione INPS e delle spese di gestione di PERSEO</t>
  </si>
  <si>
    <t>coeff. Trasformazione</t>
  </si>
  <si>
    <t>Versamenti TFR Perseo</t>
  </si>
  <si>
    <t>Versamenti 1%</t>
  </si>
  <si>
    <t>Rendimento Paniere Obbligaz</t>
  </si>
  <si>
    <t>Rendimento Perseo Garantito</t>
  </si>
  <si>
    <t>Rendimento Perseo Bilanciato</t>
  </si>
  <si>
    <t>Posizione Rival 1%</t>
  </si>
  <si>
    <t>Posizione Rival TFR</t>
  </si>
  <si>
    <t>Bilanciato</t>
  </si>
  <si>
    <t>Garantito</t>
  </si>
  <si>
    <t>Rendimento Paniere Azionario</t>
  </si>
  <si>
    <t>Le spese di gestione di PERSEO sono incluse nei rendimenti</t>
  </si>
  <si>
    <t>Rivalutazione 1% INPS viene fatta con il 75% del paniere azionario (considero qundi 25% di aliquota). Forse dovremmo mettere un valore diverso…</t>
  </si>
  <si>
    <t>Versamenti Perseo (TFR+1%+1%)</t>
  </si>
  <si>
    <t>Tasso di inflazione atteso</t>
  </si>
  <si>
    <t>Percentuale versata dall'aderente (minimo 1%)</t>
  </si>
  <si>
    <t>Rendimento atteso per investimenti azionari</t>
  </si>
  <si>
    <t>Rendimento atteso per investimenti obbligazionari</t>
  </si>
  <si>
    <t>Rendimento atteso del fondo Perseo Garantito (default: 2,1%)</t>
  </si>
  <si>
    <t>Rendimento atteso del fondo Perseo bilanciato (default: 2,1%)</t>
  </si>
  <si>
    <t>seguendo le istruzioni relative</t>
  </si>
  <si>
    <t>PARAMETRI BASE</t>
  </si>
  <si>
    <t>PARAMETRI AVANZATI</t>
  </si>
  <si>
    <t>ISTRUZIONI: SETTAGGIO PARAMETRI</t>
  </si>
  <si>
    <t>Coefficienti di trasformazione Perseo. Il coefficiente va ottenuto dal seguente file: https://www.fondoperseosirio.it/cms/resource/923/documento-sulle-rendite-6-3-20.pdf</t>
  </si>
  <si>
    <t>NEL TUO CASO CI ASPETTIAMO CHE:</t>
  </si>
  <si>
    <t>Se NON aderisci a Perseo, il tuo TFR NETTO versato al pensionamento dovrebbe essere di EURO:</t>
  </si>
  <si>
    <t xml:space="preserve">Se aderisci a Perseo (bilanciato) e opti per la restituzione del TFR al 50% dovresti ottenere al pensionamento EURO: </t>
  </si>
  <si>
    <t xml:space="preserve">Se aderisci a Perseo (garantito) e opti per la restituzione del TFR al 50% dovresti ottenere al pensionamento EURO: </t>
  </si>
  <si>
    <t>A cui aggiungere una rata vitalizia mensile netta di EURO:</t>
  </si>
  <si>
    <t xml:space="preserve">Considerando I costi sostenuti per alimentare PERSEO, aderendo otterresti un guadagno netto dopo anni: </t>
  </si>
  <si>
    <t>RISULTATI:</t>
  </si>
  <si>
    <t xml:space="preserve">Se aderisci a Perseo (bilanciato) e opti per restituzione interamente vitalizia dovresti ricevere: </t>
  </si>
  <si>
    <t>una rata vitalizia mensile netta di EURO:</t>
  </si>
  <si>
    <t xml:space="preserve">Se aderisci a Perseo (garantito) e opti per restituzione interamente vitalizia dovresti ricevere: </t>
  </si>
  <si>
    <t xml:space="preserve">Data questa simulazione, in regime bilanciato la tua rendita vitalizia annuale sarebbe </t>
  </si>
  <si>
    <t xml:space="preserve">Data questa simulazione, in regime garantito la tua rendita vitalizia annuale sarebbe </t>
  </si>
  <si>
    <t xml:space="preserve"> reinvestendo l'1% risparmiato (azionario)</t>
  </si>
  <si>
    <t>A cui aggiungere un eventuale investimento azionario dell'1% risparmiato pari a EURO:</t>
  </si>
  <si>
    <t>(senza considerare l'eventuale investimento dello stipendio risparmiato non aderendo a Perseo/Sirio)</t>
  </si>
  <si>
    <t>Come tassazione per PERSEO sto applicando aliquota del 9%. Piu' precisamente sarebbe 15% - 0,3% per ogni anno di contributi fino al minimo del 9%</t>
  </si>
  <si>
    <t>NB: questi risultati coprono solo il periodo da qui al momento della pensione. Non è incluso il periodo precedente in cui si è necessariamente versato il solo TFR</t>
  </si>
  <si>
    <t>Anni di servizio alla pensione</t>
  </si>
  <si>
    <t>Anni di servizio al momento del pensionamento</t>
  </si>
  <si>
    <t>richiedere la restituzione interamente in forma capitale di</t>
  </si>
  <si>
    <t>Anni di servizio attuali</t>
  </si>
  <si>
    <t>Anni di servizio svolti fino ad oggi</t>
  </si>
  <si>
    <t>Esclusi i versamenti fatti fino ad oggi che non sono considerati dalla simulazione</t>
  </si>
  <si>
    <t>Aliquota Perseo</t>
  </si>
  <si>
    <t>Anno di ingresso in Perseo</t>
  </si>
  <si>
    <t>Anno (di servizio) in cui si prevede di entrare in Perseo</t>
  </si>
  <si>
    <t>3. Inserire gli anni di servizio che si anno ad oggi (2022) in cella B16</t>
  </si>
  <si>
    <t>4. Inserire gli anni di servizio a cui si prevede di entrare in Perseo in cella B17 (default: mettere uguale agli anni di servizio attuale)</t>
  </si>
  <si>
    <t>5. Inserire gli anni di servizio a cui si prevede di andare in pensione in cella B21</t>
  </si>
  <si>
    <t>6. Se lo si desidera, aggiustare gli altri parametri</t>
  </si>
  <si>
    <t>Dal 2021</t>
  </si>
  <si>
    <t>dal 2019 al 2020</t>
  </si>
  <si>
    <t>dal 2008 al 2018</t>
  </si>
  <si>
    <t>dal 1997 al 2007</t>
  </si>
  <si>
    <t>dal 2007 al 2020</t>
  </si>
  <si>
    <t>dal 1987 al 1996</t>
  </si>
  <si>
    <t>dal 1993 al 2006</t>
  </si>
  <si>
    <t>dal 1977 al 1986</t>
  </si>
  <si>
    <t>dal 1979 al 1992</t>
  </si>
  <si>
    <t>dal 1967 al 1976</t>
  </si>
  <si>
    <t>dal 1967 al 1978</t>
  </si>
  <si>
    <t>dal 1958 al 1966</t>
  </si>
  <si>
    <t>dal 1950 al 1957</t>
  </si>
  <si>
    <t>dal 1948 al 1957</t>
  </si>
  <si>
    <t>dal 1941 al 1949</t>
  </si>
  <si>
    <t>dal 1939 al 1947</t>
  </si>
  <si>
    <t>dal 1930 al 1940</t>
  </si>
  <si>
    <t>dal 1926 al 1938</t>
  </si>
  <si>
    <t>dal 1923 al 1929</t>
  </si>
  <si>
    <t>dal 1920 al 1925</t>
  </si>
  <si>
    <t>dal 1918 al 1922</t>
  </si>
  <si>
    <t>dal 1918 al 1919</t>
  </si>
  <si>
    <t>dal 1909 al 1917</t>
  </si>
  <si>
    <t>dal 1908 al 1917</t>
  </si>
  <si>
    <t>fino al 1908</t>
  </si>
  <si>
    <t>fino al 1907</t>
  </si>
  <si>
    <t>Anno di nascita</t>
  </si>
  <si>
    <t xml:space="preserve">FEMMINE </t>
  </si>
  <si>
    <t xml:space="preserve">MASCHI </t>
  </si>
  <si>
    <t>mensile</t>
  </si>
  <si>
    <t xml:space="preserve">bimestrali </t>
  </si>
  <si>
    <t xml:space="preserve">trimestrale </t>
  </si>
  <si>
    <t>Semestrale</t>
  </si>
  <si>
    <t>annuale</t>
  </si>
  <si>
    <t>Sesso Femminile</t>
  </si>
  <si>
    <t>Sesso Maschile</t>
  </si>
  <si>
    <t>Coefficienti di conversione in rendita vitalizia annua immediata rivalutabile a premio unico  pagabile secondo la rateazione prescelta  Tavola di mortalità: A62-I per impegni immediati - Tasso tecnico: 0%</t>
  </si>
  <si>
    <t>Coefficienti di conversione in rendita vitalizia annua immediata rivalutabile a premio unico pagabile in modo certo per i primi 5 anni secondo la rateazione prescelta  Tavola di mortalità; A62-I per impegni immediati - Tasso tecnico: 0%</t>
  </si>
  <si>
    <t>Coefficienti di conversione in rendita vitalizia immediata rivalutabile a premio unico  pagabile in modo certo per i primi 10 anni pagabile secondo la rateazione prescelta  Tavola di mortalita: A62-I per impegni immediati — Tasso tecnico: 0%</t>
  </si>
  <si>
    <t>Coefficienti di conversione in rendita vitalizia annua immediata rivalutabile a premio unico  con controassicurazione decrescente pagabile secondo la rateazione prescelta  Rendita vitalizia: Tavola di mortalità: A62-I per impegni immediati - Tasso tecnico: 0% Contrassicurazione: Tavola di mortalità: A62-I per impegni immediati - Tasso tecnico: 2%</t>
  </si>
  <si>
    <t>Coefficienti di conversione in rendita vitalizia annua immediata rivalutabile a premio unico con raddoppio per sopravvenuta non autosufficienza dell'Assicurato  Tavola di mortalità: A62-I per impegni immediati - Tasso tecnico: 0% - Rateazione della rendita mensile</t>
  </si>
  <si>
    <t>anno di nascita</t>
  </si>
  <si>
    <t>Opzione di rendita Perseo</t>
  </si>
  <si>
    <t>A</t>
  </si>
  <si>
    <t>Sesso</t>
  </si>
  <si>
    <t>M</t>
  </si>
  <si>
    <t>Aggiustamento eta</t>
  </si>
  <si>
    <t>Tipologia di rendita</t>
  </si>
  <si>
    <t>Reversibile (controassicurata)  = E</t>
  </si>
  <si>
    <t>reversibile per 5 (10) anni dal pensionamento =  B (C)</t>
  </si>
  <si>
    <t>2. Inserire l'anno di nascita (cella B22) e il sesso (B23)</t>
  </si>
  <si>
    <t>1. volendo, Scegliere la tipologia di rendita (cella B30): non reversibile = A (default)</t>
  </si>
  <si>
    <t>A = non reversibile, B= reversibile per 5 anni ; C = reversibile per 10 anni ; E = reversibile ; F = caso speciale di non autosufficienza</t>
  </si>
  <si>
    <t>Crescita attesa dello stipendio</t>
  </si>
  <si>
    <t>0. Impostare I parametri secondo I propri desiderata. In particolare:</t>
  </si>
  <si>
    <t>costo investimento 1%</t>
  </si>
  <si>
    <t>Scaglioni Salariali INFN (2022) III</t>
  </si>
  <si>
    <t>Scaglioni Salariali INFN (2022) I</t>
  </si>
  <si>
    <t>Scaglioni Salariali INFN (2022) II</t>
  </si>
  <si>
    <t>Livello</t>
  </si>
  <si>
    <t>3 = ricercatore/tecnogo ; 2 = primo ricercatore/tecnologo ; 1 = dirigente ricercatore/tecnologo</t>
  </si>
  <si>
    <t xml:space="preserve">Spese Perseo </t>
  </si>
  <si>
    <t>Anni dentro Perseo</t>
  </si>
  <si>
    <t>Visto che consideriamo il TFR solo da oggi in poi e non quello maturato in precedenza, le aliquote fiscali alla fine sono un po' ottimistiche</t>
  </si>
  <si>
    <t xml:space="preserve">la soglia della pensione minima, rivalutata pari a </t>
  </si>
  <si>
    <t xml:space="preserve">e quindi </t>
  </si>
  <si>
    <t>netto Perseo</t>
  </si>
  <si>
    <t>Foglio di calcolo dedicato al confronto fra l'adesione a Perseo Sirio e la normale rivalutazione del TFR secondo le regole INPS.</t>
  </si>
  <si>
    <t>Utilizza tabelle stipendiali livelli I-III ma può essere adattato agli altri livelli</t>
  </si>
  <si>
    <t>Sviluppato dal GdL dei rappresentanti di ricercatori e tecnologi:   A.Donati (FE), E.Fragiacomo (TS), G.Ortona (TO), M.Negrini (BO), A.Passeri, L.Rei (GE)</t>
  </si>
  <si>
    <t>Per una descrizione vedi slides:  https://agenda.infn.it/event/31314/contributions/170659/attachments/90453/121875/REport%20GdL%20PErseoSirio%206mag2022.pdf</t>
  </si>
  <si>
    <r>
      <rPr>
        <b/>
        <sz val="16"/>
        <color rgb="FFFF0000"/>
        <rFont val="Arial"/>
        <family val="2"/>
      </rPr>
      <t>ATTENZIONE:</t>
    </r>
    <r>
      <rPr>
        <sz val="16"/>
        <color rgb="FF000000"/>
        <rFont val="Arial"/>
        <family val="2"/>
      </rPr>
      <t xml:space="preserve">  il GdL non si assume nessuna responsabilità sulla correttezza di quanto calcolato in questi fogli Excel. Riteniamo che possa essere uno strumento utile a farsi un'idea del potenziale andamento del proprio profilo contributivo, ma vi sono numerose assunzioni non verificabili. L’utente dovrà quindi decidere autonomamente che credito dare ai risultati che otterrà e che conseguenze trarne.</t>
    </r>
  </si>
  <si>
    <t>23% sui primi 28K</t>
  </si>
  <si>
    <t>43% per il resto</t>
  </si>
  <si>
    <t>35% fino a 50K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</si>
</sst>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0"/>
      <color rgb="FF000000"/>
      <name val="Arial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4"/>
      <name val="Arial"/>
      <family val="2"/>
    </font>
    <font>
      <b/>
      <sz val="10"/>
      <color rgb="FF000000"/>
      <name val="Arial"/>
      <family val="2"/>
    </font>
    <font>
      <b/>
      <sz val="10"/>
      <color theme="4"/>
      <name val="Arial"/>
      <family val="2"/>
    </font>
    <font>
      <sz val="10"/>
      <color theme="5"/>
      <name val="Arial"/>
      <family val="2"/>
    </font>
    <font>
      <sz val="10"/>
      <color theme="3"/>
      <name val="Arial"/>
      <family val="2"/>
    </font>
    <font>
      <b/>
      <sz val="10"/>
      <color theme="5"/>
      <name val="Arial"/>
      <family val="2"/>
    </font>
    <font>
      <sz val="10"/>
      <name val="Arial"/>
      <family val="2"/>
    </font>
    <font>
      <sz val="7"/>
      <name val="Arial"/>
      <family val="2"/>
    </font>
    <font>
      <sz val="18"/>
      <color rgb="FF000000"/>
      <name val="Arial"/>
      <family val="2"/>
    </font>
    <font>
      <sz val="16"/>
      <color rgb="FF000000"/>
      <name val="Arial"/>
      <family val="2"/>
    </font>
    <font>
      <sz val="16"/>
      <color rgb="FF002060"/>
      <name val="Arial"/>
      <family val="2"/>
    </font>
    <font>
      <u/>
      <sz val="10"/>
      <color theme="10"/>
      <name val="Arial"/>
      <family val="2"/>
    </font>
    <font>
      <b/>
      <sz val="16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1" fillId="0" borderId="0"/>
    <xf numFmtId="0" fontId="16" fillId="0" borderId="0" applyNumberFormat="0" applyFill="0" applyBorder="0" applyAlignment="0" applyProtection="0"/>
  </cellStyleXfs>
  <cellXfs count="47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0" fillId="2" borderId="1" xfId="0" applyFill="1" applyBorder="1"/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3" fillId="2" borderId="0" xfId="0" applyFont="1" applyFill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2" fillId="0" borderId="10" xfId="0" applyFont="1" applyBorder="1"/>
    <xf numFmtId="0" fontId="0" fillId="2" borderId="11" xfId="0" applyFill="1" applyBorder="1"/>
    <xf numFmtId="0" fontId="0" fillId="2" borderId="12" xfId="0" applyFill="1" applyBorder="1"/>
    <xf numFmtId="0" fontId="0" fillId="2" borderId="1" xfId="0" applyFill="1" applyBorder="1" applyProtection="1">
      <protection locked="0"/>
    </xf>
    <xf numFmtId="164" fontId="0" fillId="2" borderId="0" xfId="0" applyNumberFormat="1" applyFill="1"/>
    <xf numFmtId="0" fontId="9" fillId="0" borderId="0" xfId="0" applyFont="1"/>
    <xf numFmtId="2" fontId="10" fillId="0" borderId="0" xfId="0" applyNumberFormat="1" applyFont="1"/>
    <xf numFmtId="2" fontId="7" fillId="0" borderId="0" xfId="0" applyNumberFormat="1" applyFont="1"/>
    <xf numFmtId="164" fontId="7" fillId="0" borderId="0" xfId="0" applyNumberFormat="1" applyFont="1"/>
    <xf numFmtId="0" fontId="4" fillId="0" borderId="4" xfId="0" applyFont="1" applyBorder="1"/>
    <xf numFmtId="0" fontId="8" fillId="0" borderId="13" xfId="0" applyFont="1" applyBorder="1"/>
    <xf numFmtId="0" fontId="8" fillId="0" borderId="5" xfId="0" applyFont="1" applyBorder="1"/>
    <xf numFmtId="0" fontId="4" fillId="0" borderId="6" xfId="0" applyFont="1" applyBorder="1"/>
    <xf numFmtId="0" fontId="8" fillId="0" borderId="7" xfId="0" applyFont="1" applyBorder="1"/>
    <xf numFmtId="0" fontId="2" fillId="0" borderId="0" xfId="0" applyFont="1" applyProtection="1">
      <protection locked="0"/>
    </xf>
    <xf numFmtId="0" fontId="0" fillId="2" borderId="2" xfId="0" applyFill="1" applyBorder="1"/>
    <xf numFmtId="0" fontId="11" fillId="0" borderId="0" xfId="1"/>
    <xf numFmtId="0" fontId="12" fillId="0" borderId="0" xfId="1" applyFont="1" applyAlignment="1">
      <alignment horizontal="justify"/>
    </xf>
    <xf numFmtId="0" fontId="12" fillId="0" borderId="0" xfId="1" applyFont="1"/>
    <xf numFmtId="0" fontId="2" fillId="2" borderId="3" xfId="0" applyFont="1" applyFill="1" applyBorder="1"/>
    <xf numFmtId="0" fontId="2" fillId="2" borderId="2" xfId="0" applyFont="1" applyFill="1" applyBorder="1"/>
    <xf numFmtId="2" fontId="1" fillId="0" borderId="0" xfId="0" applyNumberFormat="1" applyFont="1" applyProtection="1">
      <protection locked="0"/>
    </xf>
    <xf numFmtId="164" fontId="0" fillId="0" borderId="0" xfId="0" applyNumberFormat="1"/>
    <xf numFmtId="0" fontId="0" fillId="0" borderId="0" xfId="0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16" fillId="0" borderId="0" xfId="2" applyAlignment="1">
      <alignment horizontal="left" vertical="top" wrapText="1"/>
    </xf>
  </cellXfs>
  <cellStyles count="3">
    <cellStyle name="Collegamento ipertestuale 2" xfId="2" xr:uid="{F80A4BBC-F91F-44A5-BDFA-41C2AF197F0D}"/>
    <cellStyle name="Normal" xfId="0" builtinId="0"/>
    <cellStyle name="Normal 2" xfId="1" xr:uid="{E70E6D78-D42B-7F44-BADF-46D0216608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genda.infn.it/event/31314/contributions/170659/attachments/90453/121875/REport%20GdL%20PErseoSirio%206mag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D4198-E234-44E3-A2AD-4D5C38F479ED}">
  <dimension ref="B2:R25"/>
  <sheetViews>
    <sheetView workbookViewId="0">
      <selection activeCell="S23" sqref="S23"/>
    </sheetView>
  </sheetViews>
  <sheetFormatPr baseColWidth="10" defaultColWidth="8.83203125" defaultRowHeight="13" x14ac:dyDescent="0.15"/>
  <sheetData>
    <row r="2" spans="2:18" ht="13.25" customHeight="1" x14ac:dyDescent="0.15">
      <c r="B2" s="42" t="s">
        <v>153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1"/>
      <c r="R2" s="41"/>
    </row>
    <row r="3" spans="2:18" x14ac:dyDescent="0.15"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1"/>
      <c r="R3" s="41"/>
    </row>
    <row r="4" spans="2:18" x14ac:dyDescent="0.15"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1"/>
      <c r="R4" s="41"/>
    </row>
    <row r="5" spans="2:18" x14ac:dyDescent="0.15"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1"/>
      <c r="R5" s="41"/>
    </row>
    <row r="6" spans="2:18" x14ac:dyDescent="0.15"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</row>
    <row r="7" spans="2:18" x14ac:dyDescent="0.15">
      <c r="B7" s="43" t="s">
        <v>154</v>
      </c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1"/>
      <c r="R7" s="41"/>
    </row>
    <row r="8" spans="2:18" x14ac:dyDescent="0.15"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1"/>
      <c r="R8" s="41"/>
    </row>
    <row r="9" spans="2:18" x14ac:dyDescent="0.15"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1"/>
      <c r="R9" s="41"/>
    </row>
    <row r="10" spans="2:18" x14ac:dyDescent="0.15">
      <c r="B10" s="45" t="s">
        <v>155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1"/>
      <c r="R10" s="41"/>
    </row>
    <row r="11" spans="2:18" x14ac:dyDescent="0.15"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1"/>
      <c r="R11" s="41"/>
    </row>
    <row r="12" spans="2:18" x14ac:dyDescent="0.15"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1"/>
      <c r="R12" s="41"/>
    </row>
    <row r="13" spans="2:18" x14ac:dyDescent="0.15"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1"/>
      <c r="R13" s="41"/>
    </row>
    <row r="14" spans="2:18" x14ac:dyDescent="0.15"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1"/>
      <c r="R14" s="41"/>
    </row>
    <row r="15" spans="2:18" x14ac:dyDescent="0.15"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</row>
    <row r="16" spans="2:18" x14ac:dyDescent="0.15">
      <c r="B16" s="46" t="s">
        <v>156</v>
      </c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1"/>
      <c r="R16" s="41"/>
    </row>
    <row r="17" spans="2:18" x14ac:dyDescent="0.15"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1"/>
      <c r="R17" s="41"/>
    </row>
    <row r="18" spans="2:18" x14ac:dyDescent="0.15"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1"/>
      <c r="R18" s="41"/>
    </row>
    <row r="19" spans="2:18" x14ac:dyDescent="0.15"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1"/>
      <c r="R19" s="41"/>
    </row>
    <row r="20" spans="2:18" x14ac:dyDescent="0.15">
      <c r="B20" s="43" t="s">
        <v>157</v>
      </c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1"/>
      <c r="R20" s="41"/>
    </row>
    <row r="21" spans="2:18" x14ac:dyDescent="0.15"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1"/>
      <c r="R21" s="41"/>
    </row>
    <row r="22" spans="2:18" x14ac:dyDescent="0.15"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1"/>
      <c r="R22" s="41"/>
    </row>
    <row r="23" spans="2:18" x14ac:dyDescent="0.15"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1"/>
      <c r="R23" s="41"/>
    </row>
    <row r="24" spans="2:18" x14ac:dyDescent="0.15"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1"/>
      <c r="R24" s="41"/>
    </row>
    <row r="25" spans="2:18" x14ac:dyDescent="0.15"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</row>
  </sheetData>
  <mergeCells count="5">
    <mergeCell ref="B2:P5"/>
    <mergeCell ref="B7:P9"/>
    <mergeCell ref="B10:P14"/>
    <mergeCell ref="B16:P19"/>
    <mergeCell ref="B20:P25"/>
  </mergeCells>
  <hyperlinks>
    <hyperlink ref="B16:P19" r:id="rId1" display="Per una descrizione vedi slides:  https://agenda.infn.it/event/31314/contributions/170659/attachments/90453/121875/REport%20GdL%20PErseoSirio%206mag2022.pdf" xr:uid="{A16FB927-1E98-4988-B370-2F077976283A}"/>
  </hyperlinks>
  <pageMargins left="0.7" right="0.7" top="0.75" bottom="0.75" header="0.3" footer="0.3"/>
  <pageSetup paperSize="9" orientation="portrait" horizontalDpi="360" verticalDpi="36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1E3C8-F4F5-B14E-A85C-A283936178C9}">
  <dimension ref="A1:O71"/>
  <sheetViews>
    <sheetView topLeftCell="A3" workbookViewId="0">
      <selection activeCell="C31" sqref="C31"/>
    </sheetView>
  </sheetViews>
  <sheetFormatPr baseColWidth="10" defaultColWidth="11.5" defaultRowHeight="13" x14ac:dyDescent="0.15"/>
  <cols>
    <col min="1" max="1" width="25" bestFit="1" customWidth="1"/>
    <col min="2" max="2" width="15.1640625" bestFit="1" customWidth="1"/>
    <col min="3" max="3" width="26.5" customWidth="1"/>
    <col min="5" max="5" width="15" customWidth="1"/>
    <col min="6" max="6" width="11.33203125" customWidth="1"/>
    <col min="7" max="7" width="12.1640625" customWidth="1"/>
    <col min="8" max="8" width="11.83203125" customWidth="1"/>
    <col min="9" max="9" width="8.1640625" customWidth="1"/>
    <col min="10" max="10" width="14.83203125" customWidth="1"/>
    <col min="11" max="11" width="18.1640625" customWidth="1"/>
    <col min="12" max="12" width="12" customWidth="1"/>
    <col min="13" max="13" width="6.83203125" customWidth="1"/>
    <col min="14" max="14" width="7" customWidth="1"/>
  </cols>
  <sheetData>
    <row r="1" spans="1:6" x14ac:dyDescent="0.15">
      <c r="A1" s="5" t="s">
        <v>54</v>
      </c>
    </row>
    <row r="3" spans="1:6" x14ac:dyDescent="0.15">
      <c r="A3" s="3" t="s">
        <v>140</v>
      </c>
    </row>
    <row r="4" spans="1:6" x14ac:dyDescent="0.15">
      <c r="A4" s="3" t="s">
        <v>137</v>
      </c>
    </row>
    <row r="5" spans="1:6" x14ac:dyDescent="0.15">
      <c r="B5" s="3" t="s">
        <v>135</v>
      </c>
    </row>
    <row r="6" spans="1:6" x14ac:dyDescent="0.15">
      <c r="B6" s="3" t="s">
        <v>134</v>
      </c>
    </row>
    <row r="7" spans="1:6" x14ac:dyDescent="0.15">
      <c r="A7" s="3" t="s">
        <v>136</v>
      </c>
    </row>
    <row r="8" spans="1:6" x14ac:dyDescent="0.15">
      <c r="A8" s="3" t="s">
        <v>82</v>
      </c>
    </row>
    <row r="9" spans="1:6" x14ac:dyDescent="0.15">
      <c r="A9" s="3" t="s">
        <v>83</v>
      </c>
    </row>
    <row r="10" spans="1:6" x14ac:dyDescent="0.15">
      <c r="A10" s="3" t="s">
        <v>84</v>
      </c>
    </row>
    <row r="11" spans="1:6" x14ac:dyDescent="0.15">
      <c r="A11" s="3" t="s">
        <v>85</v>
      </c>
    </row>
    <row r="13" spans="1:6" ht="14" thickBot="1" x14ac:dyDescent="0.2">
      <c r="A13" s="11" t="s">
        <v>52</v>
      </c>
    </row>
    <row r="14" spans="1:6" x14ac:dyDescent="0.15">
      <c r="A14" s="3" t="s">
        <v>76</v>
      </c>
      <c r="B14" s="8">
        <v>5</v>
      </c>
      <c r="C14" s="3" t="s">
        <v>77</v>
      </c>
      <c r="F14" s="7" t="str">
        <f>IF(B15&lt;B14,"ERROR anno di ingresso &lt; anno attuale","")</f>
        <v/>
      </c>
    </row>
    <row r="15" spans="1:6" x14ac:dyDescent="0.15">
      <c r="A15" s="3" t="s">
        <v>80</v>
      </c>
      <c r="B15" s="33">
        <v>5</v>
      </c>
      <c r="C15" s="3" t="s">
        <v>81</v>
      </c>
    </row>
    <row r="16" spans="1:6" x14ac:dyDescent="0.15">
      <c r="A16" s="3" t="s">
        <v>3</v>
      </c>
      <c r="B16" s="9">
        <v>0.02</v>
      </c>
      <c r="C16" s="3" t="s">
        <v>45</v>
      </c>
    </row>
    <row r="17" spans="1:4" x14ac:dyDescent="0.15">
      <c r="A17" s="3" t="s">
        <v>4</v>
      </c>
      <c r="B17" s="9">
        <v>0.01</v>
      </c>
      <c r="C17" s="3" t="s">
        <v>139</v>
      </c>
    </row>
    <row r="18" spans="1:4" x14ac:dyDescent="0.15">
      <c r="A18" s="3" t="s">
        <v>6</v>
      </c>
      <c r="B18" s="9">
        <v>0.01</v>
      </c>
      <c r="C18" s="3" t="s">
        <v>46</v>
      </c>
    </row>
    <row r="19" spans="1:4" x14ac:dyDescent="0.15">
      <c r="A19" s="3" t="s">
        <v>73</v>
      </c>
      <c r="B19" s="9">
        <v>39</v>
      </c>
      <c r="C19" s="3" t="s">
        <v>74</v>
      </c>
    </row>
    <row r="20" spans="1:4" x14ac:dyDescent="0.15">
      <c r="A20" s="3" t="s">
        <v>127</v>
      </c>
      <c r="B20" s="33">
        <v>1984</v>
      </c>
      <c r="C20" s="3" t="s">
        <v>55</v>
      </c>
    </row>
    <row r="21" spans="1:4" x14ac:dyDescent="0.15">
      <c r="A21" s="3" t="s">
        <v>130</v>
      </c>
      <c r="B21" s="38" t="s">
        <v>131</v>
      </c>
      <c r="C21" s="3" t="s">
        <v>51</v>
      </c>
    </row>
    <row r="22" spans="1:4" ht="14" thickBot="1" x14ac:dyDescent="0.2">
      <c r="A22" s="3" t="s">
        <v>145</v>
      </c>
      <c r="B22" s="10">
        <v>3</v>
      </c>
      <c r="C22" s="3" t="s">
        <v>146</v>
      </c>
    </row>
    <row r="24" spans="1:4" ht="14" thickBot="1" x14ac:dyDescent="0.2">
      <c r="A24" s="11" t="s">
        <v>53</v>
      </c>
    </row>
    <row r="25" spans="1:4" x14ac:dyDescent="0.15">
      <c r="A25" s="3" t="s">
        <v>41</v>
      </c>
      <c r="B25" s="21">
        <v>0.04</v>
      </c>
      <c r="C25" s="3" t="s">
        <v>47</v>
      </c>
    </row>
    <row r="26" spans="1:4" x14ac:dyDescent="0.15">
      <c r="A26" s="3" t="s">
        <v>34</v>
      </c>
      <c r="B26" s="9">
        <v>0.02</v>
      </c>
      <c r="C26" s="3" t="s">
        <v>48</v>
      </c>
    </row>
    <row r="27" spans="1:4" x14ac:dyDescent="0.15">
      <c r="A27" s="3" t="s">
        <v>35</v>
      </c>
      <c r="B27" s="9">
        <v>2.1000000000000001E-2</v>
      </c>
      <c r="C27" s="3" t="s">
        <v>49</v>
      </c>
    </row>
    <row r="28" spans="1:4" x14ac:dyDescent="0.15">
      <c r="A28" s="3" t="s">
        <v>36</v>
      </c>
      <c r="B28" s="9">
        <v>2.5999999999999999E-2</v>
      </c>
      <c r="C28" s="3" t="s">
        <v>50</v>
      </c>
    </row>
    <row r="29" spans="1:4" ht="14" thickBot="1" x14ac:dyDescent="0.2">
      <c r="A29" s="3" t="s">
        <v>128</v>
      </c>
      <c r="B29" s="37" t="s">
        <v>129</v>
      </c>
      <c r="C29" s="3" t="s">
        <v>133</v>
      </c>
      <c r="D29" s="3" t="s">
        <v>138</v>
      </c>
    </row>
    <row r="32" spans="1:4" x14ac:dyDescent="0.15">
      <c r="A32" s="5" t="s">
        <v>62</v>
      </c>
    </row>
    <row r="35" spans="1:9" x14ac:dyDescent="0.15">
      <c r="A35" s="5" t="s">
        <v>56</v>
      </c>
    </row>
    <row r="36" spans="1:9" x14ac:dyDescent="0.15">
      <c r="G36" s="5"/>
    </row>
    <row r="37" spans="1:9" x14ac:dyDescent="0.15">
      <c r="A37" s="7" t="s">
        <v>57</v>
      </c>
      <c r="B37" s="7"/>
      <c r="C37" s="7"/>
      <c r="D37" s="7"/>
      <c r="E37" s="7"/>
      <c r="F37" s="7"/>
      <c r="G37" s="24">
        <f ca="1">'Calcolo Versamenti'!C54</f>
        <v>176133.79011108246</v>
      </c>
      <c r="H37" s="3" t="s">
        <v>78</v>
      </c>
    </row>
    <row r="38" spans="1:9" x14ac:dyDescent="0.15">
      <c r="A38" s="7" t="s">
        <v>69</v>
      </c>
      <c r="B38" s="7"/>
      <c r="C38" s="7"/>
      <c r="D38" s="7"/>
      <c r="E38" s="7"/>
      <c r="F38" s="7"/>
      <c r="G38" s="24" cm="1">
        <f t="array" aca="1" ref="G38" ca="1">INDIRECT(ADDRESS(1+Simulatore!B19,5,,,"Calcolo Versamenti"))-INDIRECT(ADDRESS(1+Simulatore!B19,6,,,"Calcolo Versamenti"))</f>
        <v>11538.045376095677</v>
      </c>
      <c r="I38" s="3"/>
    </row>
    <row r="40" spans="1:9" x14ac:dyDescent="0.15">
      <c r="A40" s="4" t="s">
        <v>58</v>
      </c>
      <c r="B40" s="4"/>
      <c r="C40" s="4"/>
      <c r="D40" s="4"/>
      <c r="E40" s="4"/>
      <c r="F40" s="4"/>
      <c r="G40" s="25">
        <f ca="1">'Calcolo Versamenti'!G53</f>
        <v>114552.63377550483</v>
      </c>
    </row>
    <row r="41" spans="1:9" x14ac:dyDescent="0.15">
      <c r="A41" s="4" t="s">
        <v>60</v>
      </c>
      <c r="B41" s="4"/>
      <c r="C41" s="4"/>
      <c r="D41" s="4"/>
      <c r="E41" s="4"/>
      <c r="F41" s="4"/>
      <c r="G41" s="25">
        <f ca="1">'Calcolo Versamenti'!G52</f>
        <v>478.15806252398869</v>
      </c>
    </row>
    <row r="42" spans="1:9" x14ac:dyDescent="0.15">
      <c r="A42" s="4" t="s">
        <v>61</v>
      </c>
      <c r="B42" s="4"/>
      <c r="C42" s="4"/>
      <c r="D42" s="4"/>
      <c r="E42" s="4"/>
      <c r="F42" s="4"/>
      <c r="G42" s="26">
        <f ca="1">'Calcolo Versamenti'!G54</f>
        <v>11.489431295345916</v>
      </c>
      <c r="H42" s="3" t="s">
        <v>70</v>
      </c>
    </row>
    <row r="43" spans="1:9" x14ac:dyDescent="0.15">
      <c r="A43" s="4"/>
      <c r="B43" s="4"/>
      <c r="C43" s="4"/>
      <c r="D43" s="4"/>
      <c r="E43" s="4"/>
      <c r="F43" s="4"/>
      <c r="G43" s="6"/>
    </row>
    <row r="44" spans="1:9" x14ac:dyDescent="0.15">
      <c r="A44" s="4" t="s">
        <v>59</v>
      </c>
      <c r="B44" s="4"/>
      <c r="C44" s="4"/>
      <c r="D44" s="4"/>
      <c r="E44" s="4"/>
      <c r="F44" s="4"/>
      <c r="G44" s="25">
        <f ca="1">'Calcolo Versamenti'!H53</f>
        <v>103890.46985038398</v>
      </c>
    </row>
    <row r="45" spans="1:9" x14ac:dyDescent="0.15">
      <c r="A45" s="4" t="s">
        <v>60</v>
      </c>
      <c r="B45" s="4"/>
      <c r="C45" s="4"/>
      <c r="D45" s="4"/>
      <c r="E45" s="4"/>
      <c r="F45" s="4"/>
      <c r="G45" s="25">
        <f ca="1">'Calcolo Versamenti'!H52</f>
        <v>433.65275979354095</v>
      </c>
    </row>
    <row r="46" spans="1:9" x14ac:dyDescent="0.15">
      <c r="A46" s="4" t="s">
        <v>61</v>
      </c>
      <c r="B46" s="4"/>
      <c r="C46" s="4"/>
      <c r="D46" s="4"/>
      <c r="E46" s="4"/>
      <c r="F46" s="4"/>
      <c r="G46" s="26">
        <f ca="1">'Calcolo Versamenti'!H54</f>
        <v>14.717484724760846</v>
      </c>
      <c r="H46" s="3" t="s">
        <v>70</v>
      </c>
    </row>
    <row r="47" spans="1:9" x14ac:dyDescent="0.15">
      <c r="G47" s="5"/>
    </row>
    <row r="48" spans="1:9" x14ac:dyDescent="0.15">
      <c r="A48" s="4"/>
      <c r="B48" s="4"/>
      <c r="C48" s="4"/>
      <c r="D48" s="4"/>
      <c r="E48" s="4"/>
      <c r="F48" s="4"/>
      <c r="G48" s="6"/>
    </row>
    <row r="49" spans="1:15" x14ac:dyDescent="0.15">
      <c r="A49" s="4" t="s">
        <v>63</v>
      </c>
      <c r="B49" s="4"/>
      <c r="C49" s="4"/>
      <c r="D49" s="4"/>
      <c r="E49" s="4"/>
      <c r="F49" s="4"/>
      <c r="G49" s="25"/>
    </row>
    <row r="50" spans="1:15" x14ac:dyDescent="0.15">
      <c r="A50" s="4" t="s">
        <v>64</v>
      </c>
      <c r="B50" s="4"/>
      <c r="C50" s="4"/>
      <c r="D50" s="4"/>
      <c r="E50" s="4"/>
      <c r="F50" s="4"/>
      <c r="G50" s="25">
        <f ca="1">'Calcolo Versamenti'!G59</f>
        <v>956.31612504797738</v>
      </c>
    </row>
    <row r="51" spans="1:15" x14ac:dyDescent="0.15">
      <c r="A51" s="4" t="s">
        <v>61</v>
      </c>
      <c r="B51" s="4"/>
      <c r="C51" s="4"/>
      <c r="D51" s="4"/>
      <c r="E51" s="4"/>
      <c r="F51" s="4"/>
      <c r="G51" s="26">
        <f ca="1">'Calcolo Versamenti'!G60</f>
        <v>14.96975141159699</v>
      </c>
      <c r="H51" s="3" t="s">
        <v>70</v>
      </c>
    </row>
    <row r="52" spans="1:15" x14ac:dyDescent="0.15">
      <c r="A52" s="4"/>
      <c r="B52" s="4"/>
      <c r="C52" s="4"/>
      <c r="D52" s="4"/>
      <c r="E52" s="4"/>
      <c r="F52" s="4"/>
      <c r="G52" s="6"/>
    </row>
    <row r="53" spans="1:15" x14ac:dyDescent="0.15">
      <c r="A53" s="4"/>
      <c r="B53" s="4"/>
      <c r="C53" s="4"/>
      <c r="D53" s="4"/>
      <c r="E53" s="4"/>
      <c r="F53" s="4"/>
      <c r="G53" s="6"/>
    </row>
    <row r="54" spans="1:15" x14ac:dyDescent="0.15">
      <c r="A54" s="4" t="s">
        <v>65</v>
      </c>
      <c r="B54" s="4"/>
      <c r="C54" s="4"/>
      <c r="D54" s="4"/>
      <c r="E54" s="4"/>
      <c r="F54" s="4"/>
      <c r="G54" s="25"/>
    </row>
    <row r="55" spans="1:15" x14ac:dyDescent="0.15">
      <c r="A55" s="4" t="s">
        <v>64</v>
      </c>
      <c r="B55" s="4"/>
      <c r="C55" s="4"/>
      <c r="D55" s="4"/>
      <c r="E55" s="4"/>
      <c r="F55" s="4"/>
      <c r="G55" s="25">
        <f ca="1">'Calcolo Versamenti'!H59</f>
        <v>867.3055195870819</v>
      </c>
    </row>
    <row r="56" spans="1:15" x14ac:dyDescent="0.15">
      <c r="A56" s="4" t="s">
        <v>61</v>
      </c>
      <c r="B56" s="4"/>
      <c r="C56" s="4"/>
      <c r="D56" s="4"/>
      <c r="E56" s="4"/>
      <c r="F56" s="4"/>
      <c r="G56" s="26">
        <f ca="1">'Calcolo Versamenti'!H60</f>
        <v>17.340852424726688</v>
      </c>
      <c r="H56" s="3" t="s">
        <v>70</v>
      </c>
    </row>
    <row r="58" spans="1:15" x14ac:dyDescent="0.15">
      <c r="A58" s="23" t="s">
        <v>66</v>
      </c>
      <c r="D58" s="5" t="str">
        <f ca="1">IF('Calcolo Versamenti'!G57&gt;H58,"SOPRA","SOTTO")</f>
        <v>SOPRA</v>
      </c>
      <c r="E58" s="3" t="s">
        <v>150</v>
      </c>
      <c r="H58" s="40">
        <f>6079.45*(1+MIN(B16,(B16+B17)/2))^(B19-B14)</f>
        <v>10085.785498204796</v>
      </c>
      <c r="I58" t="s">
        <v>151</v>
      </c>
      <c r="J58" s="5" t="str">
        <f ca="1">IF('Calcolo Versamenti'!G57&gt;H58,"NON POTRESTI","POTRESTI")</f>
        <v>NON POTRESTI</v>
      </c>
      <c r="K58" s="3" t="s">
        <v>75</v>
      </c>
      <c r="O58" s="6">
        <f ca="1">IF('Calcolo Versamenti'!G57&lt;H58,'Calcolo Versamenti'!G49*'Calcoli Perseo'!L9,0)</f>
        <v>0</v>
      </c>
    </row>
    <row r="59" spans="1:15" x14ac:dyDescent="0.15">
      <c r="A59" s="23" t="s">
        <v>67</v>
      </c>
      <c r="D59" s="5" t="str">
        <f ca="1">IF('Calcolo Versamenti'!H57&gt;H59,"SOPRA","SOTTO")</f>
        <v>SOPRA</v>
      </c>
      <c r="E59" s="3" t="s">
        <v>150</v>
      </c>
      <c r="H59" s="40">
        <f>6079.45*(1+MIN(B16,(B16+B17)/2))^(B19-B14)</f>
        <v>10085.785498204796</v>
      </c>
      <c r="I59" t="s">
        <v>151</v>
      </c>
      <c r="J59" s="5" t="str">
        <f ca="1">IF('Calcolo Versamenti'!H57&gt;H59,"NON POTRESTI","POTRESTI")</f>
        <v>NON POTRESTI</v>
      </c>
      <c r="K59" s="3" t="s">
        <v>75</v>
      </c>
      <c r="O59" s="6">
        <f ca="1">IF('Calcolo Versamenti'!H57&lt;H59,'Calcolo Versamenti'!H49*'Calcoli Perseo'!L9,0)</f>
        <v>0</v>
      </c>
    </row>
    <row r="61" spans="1:15" x14ac:dyDescent="0.15">
      <c r="A61" s="5" t="s">
        <v>72</v>
      </c>
    </row>
    <row r="65" spans="1:13" x14ac:dyDescent="0.15">
      <c r="M65" s="3"/>
    </row>
    <row r="71" spans="1:13" x14ac:dyDescent="0.15">
      <c r="A71" s="3"/>
    </row>
  </sheetData>
  <dataValidations count="3">
    <dataValidation type="list" allowBlank="1" showInputMessage="1" showErrorMessage="1" sqref="B21" xr:uid="{EA7A3BC0-0E88-D542-9B2D-A2BEB6103DE4}">
      <formula1>"M,F"</formula1>
    </dataValidation>
    <dataValidation type="list" allowBlank="1" showInputMessage="1" showErrorMessage="1" sqref="B29" xr:uid="{5620F465-43DE-3F46-BEAD-F8832A15363C}">
      <formula1>"A,B,C,E,F"</formula1>
    </dataValidation>
    <dataValidation type="list" allowBlank="1" showInputMessage="1" showErrorMessage="1" sqref="B22" xr:uid="{B1B2EE61-C701-B347-ACF4-4AA672271652}">
      <formula1>"3 , 2 , 1"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CC99A-9CE2-0143-A693-0A49C61FF998}">
  <dimension ref="A6:C22"/>
  <sheetViews>
    <sheetView workbookViewId="0">
      <selection activeCell="D26" sqref="D26"/>
    </sheetView>
  </sheetViews>
  <sheetFormatPr baseColWidth="10" defaultColWidth="11.5" defaultRowHeight="13" x14ac:dyDescent="0.15"/>
  <sheetData>
    <row r="6" spans="1:3" x14ac:dyDescent="0.15">
      <c r="A6" s="3"/>
    </row>
    <row r="7" spans="1:3" x14ac:dyDescent="0.15">
      <c r="A7" s="7" t="s">
        <v>13</v>
      </c>
    </row>
    <row r="8" spans="1:3" x14ac:dyDescent="0.15">
      <c r="A8" s="7" t="s">
        <v>14</v>
      </c>
    </row>
    <row r="9" spans="1:3" x14ac:dyDescent="0.15">
      <c r="A9" s="3" t="s">
        <v>30</v>
      </c>
    </row>
    <row r="10" spans="1:3" x14ac:dyDescent="0.15">
      <c r="A10" s="3" t="s">
        <v>42</v>
      </c>
    </row>
    <row r="11" spans="1:3" x14ac:dyDescent="0.15">
      <c r="A11" s="3" t="s">
        <v>43</v>
      </c>
    </row>
    <row r="13" spans="1:3" x14ac:dyDescent="0.15">
      <c r="A13" s="3" t="s">
        <v>71</v>
      </c>
    </row>
    <row r="15" spans="1:3" x14ac:dyDescent="0.15">
      <c r="A15" s="3" t="s">
        <v>15</v>
      </c>
    </row>
    <row r="16" spans="1:3" x14ac:dyDescent="0.15">
      <c r="A16" s="3" t="s">
        <v>16</v>
      </c>
      <c r="C16">
        <v>176968.391</v>
      </c>
    </row>
    <row r="17" spans="1:3" x14ac:dyDescent="0.15">
      <c r="A17" s="3" t="s">
        <v>17</v>
      </c>
      <c r="C17">
        <v>178275.41</v>
      </c>
    </row>
    <row r="18" spans="1:3" x14ac:dyDescent="0.15">
      <c r="A18" s="3" t="s">
        <v>18</v>
      </c>
    </row>
    <row r="22" spans="1:3" x14ac:dyDescent="0.15">
      <c r="A22" s="3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L60"/>
  <sheetViews>
    <sheetView tabSelected="1" topLeftCell="A18" workbookViewId="0">
      <selection activeCell="B55" sqref="B55"/>
    </sheetView>
  </sheetViews>
  <sheetFormatPr baseColWidth="10" defaultColWidth="14.5" defaultRowHeight="15.75" customHeight="1" x14ac:dyDescent="0.15"/>
  <cols>
    <col min="2" max="2" width="15.1640625" bestFit="1" customWidth="1"/>
    <col min="4" max="4" width="16.5" bestFit="1" customWidth="1"/>
    <col min="5" max="5" width="33.33203125" bestFit="1" customWidth="1"/>
    <col min="6" max="6" width="20.83203125" bestFit="1" customWidth="1"/>
    <col min="7" max="7" width="15.83203125" bestFit="1" customWidth="1"/>
    <col min="8" max="8" width="23.1640625" bestFit="1" customWidth="1"/>
    <col min="9" max="9" width="24.83203125" bestFit="1" customWidth="1"/>
    <col min="10" max="10" width="12.6640625" bestFit="1" customWidth="1"/>
    <col min="11" max="11" width="19" bestFit="1" customWidth="1"/>
    <col min="12" max="12" width="16.33203125" bestFit="1" customWidth="1"/>
    <col min="13" max="13" width="24.6640625" customWidth="1"/>
    <col min="15" max="15" width="16.5" bestFit="1" customWidth="1"/>
  </cols>
  <sheetData>
    <row r="1" spans="1:12" ht="15.75" customHeight="1" x14ac:dyDescent="0.15">
      <c r="A1" s="1" t="s">
        <v>5</v>
      </c>
      <c r="B1" s="1" t="s">
        <v>0</v>
      </c>
      <c r="C1" s="1" t="s">
        <v>1</v>
      </c>
      <c r="D1" s="27" t="s">
        <v>7</v>
      </c>
      <c r="E1" s="28" t="s">
        <v>68</v>
      </c>
      <c r="F1" s="29" t="s">
        <v>141</v>
      </c>
      <c r="G1" s="1" t="s">
        <v>44</v>
      </c>
      <c r="H1" s="12" t="s">
        <v>10</v>
      </c>
      <c r="I1" s="13" t="s">
        <v>11</v>
      </c>
      <c r="J1" s="1" t="s">
        <v>147</v>
      </c>
      <c r="K1" s="1" t="s">
        <v>12</v>
      </c>
      <c r="L1" s="1" t="s">
        <v>152</v>
      </c>
    </row>
    <row r="2" spans="1:12" ht="15.75" customHeight="1" x14ac:dyDescent="0.15">
      <c r="A2" s="1">
        <v>1</v>
      </c>
      <c r="B2" s="39">
        <f xml:space="preserve">    IF(Simulatore!$B$22=3,      IF(ROW(B2)-2&lt;Simulatore!$B$14,'Calcoli Perseo'!G3,'Calcoli Perseo'!G3*(1+Simulatore!$B$17)^(ROW(B2)-2-Simulatore!$B$14)),    IF(Simulatore!$B$22=2,     IF(ROW(B2)-2&lt;Simulatore!$B$14,'Calcoli Perseo'!H3,'Calcoli Perseo'!H3*(1+Simulatore!$B$17)^(ROW(B2)-2-Simulatore!$B$14)),   IF(ROW(B2)-2&lt;Simulatore!$B$14,'Calcoli Perseo'!I3,'Calcoli Perseo'!I3*(1+Simulatore!$B$17)^(ROW(B2)-2-Simulatore!$B$14)) ))</f>
        <v>34167.8675</v>
      </c>
      <c r="C2" s="1">
        <f t="shared" ref="C2:C41" si="0">0.0691*B2</f>
        <v>2360.9996442499996</v>
      </c>
      <c r="D2" s="30">
        <f xml:space="preserve"> IF(ROW(B2)-2&lt;Simulatore!$B$15,  0, C2)</f>
        <v>0</v>
      </c>
      <c r="E2" s="7">
        <f>IF(ROW(B2)-2&lt;Simulatore!$B$15,0,      Simulatore!$B$18*B2)</f>
        <v>0</v>
      </c>
      <c r="F2" s="31">
        <f>IF(ROW(B2)-2&lt;Simulatore!$B$15,0,   Simulatore!$B$18*B2)</f>
        <v>0</v>
      </c>
      <c r="G2">
        <f>IF(ROW(B2)-2&lt;Simulatore!$B$15,0,  'Calcoli Perseo'!A3+'Calcoli Perseo'!B3)</f>
        <v>0</v>
      </c>
      <c r="H2" s="14">
        <f>'Calcoli Perseo'!C3+'Calcoli Perseo'!D3</f>
        <v>0</v>
      </c>
      <c r="I2" s="15">
        <f>'Calcoli Perseo'!E3+'Calcoli Perseo'!F3</f>
        <v>0</v>
      </c>
      <c r="J2" s="3">
        <f>IF(ROW(B2)-2&lt;Simulatore!$B$15, 0, 20+Simulatore!$B$18*B2)</f>
        <v>0</v>
      </c>
      <c r="K2">
        <f xml:space="preserve"> IF(ROW(B2)-2&lt;Simulatore!$B$15,0, IF(B2&lt;15000,0.23,IF(B2&lt;28000,0.25,IF(B2&lt;50000,0.35,0.43)))*MIN(5164.57,0.02*B2))</f>
        <v>0</v>
      </c>
      <c r="L2">
        <f>K2-J2</f>
        <v>0</v>
      </c>
    </row>
    <row r="3" spans="1:12" ht="15.75" customHeight="1" x14ac:dyDescent="0.15">
      <c r="A3" s="1">
        <v>2</v>
      </c>
      <c r="B3" s="39">
        <f xml:space="preserve">    IF(Simulatore!$B$22=3,      IF(ROW(B3)-2&lt;Simulatore!$B$14,'Calcoli Perseo'!G4,'Calcoli Perseo'!G4*(1+Simulatore!$B$17)^(ROW(B3)-2-Simulatore!$B$14)),    IF(Simulatore!$B$22=2,     IF(ROW(B3)-2&lt;Simulatore!$B$14,'Calcoli Perseo'!H4,'Calcoli Perseo'!H4*(1+Simulatore!$B$17)^(ROW(B3)-2-Simulatore!$B$14)),   IF(ROW(B3)-2&lt;Simulatore!$B$14,'Calcoli Perseo'!I4,'Calcoli Perseo'!I4*(1+Simulatore!$B$17)^(ROW(B3)-2-Simulatore!$B$14)) ))</f>
        <v>34167.8675</v>
      </c>
      <c r="C3" s="1">
        <f t="shared" si="0"/>
        <v>2360.9996442499996</v>
      </c>
      <c r="D3" s="30">
        <f xml:space="preserve"> IF(ROW(B3)-2&lt;Simulatore!$B$15,  0,  D2+0.83*D2*(Simulatore!$B$16*0.75+0.015)+C3)</f>
        <v>0</v>
      </c>
      <c r="E3" s="7">
        <f xml:space="preserve">  IF(ROW(B3)-2&lt;Simulatore!$B$15,0,       Simulatore!$B$18*B3+E2+0.75*Simulatore!$B$25*E2)</f>
        <v>0</v>
      </c>
      <c r="F3" s="31">
        <f xml:space="preserve"> IF(ROW(B3)-2&lt;Simulatore!$B$15,0,  Simulatore!$B$18*B3+F2)</f>
        <v>0</v>
      </c>
      <c r="G3">
        <f>IF(ROW(B3)-2&lt;Simulatore!$B$15,0, 'Calcoli Perseo'!A4+'Calcoli Perseo'!B4)</f>
        <v>0</v>
      </c>
      <c r="H3" s="14">
        <f>'Calcoli Perseo'!C4+'Calcoli Perseo'!D4</f>
        <v>0</v>
      </c>
      <c r="I3" s="15">
        <f>'Calcoli Perseo'!E4+'Calcoli Perseo'!F4</f>
        <v>0</v>
      </c>
      <c r="J3">
        <f>IF(ROW(B3)-2&lt;Simulatore!$B$15, 0, Simulatore!$B$18*B3+20+J2)</f>
        <v>0</v>
      </c>
      <c r="K3">
        <f xml:space="preserve"> IF(ROW(B3)-2&lt;Simulatore!$B$15,0, IF(B2&lt;15000,0.23,IF(B2&lt;28000,0.25,IF(B2&lt;50000,0.35,0.43)))*MIN(5164.57,0.02*B3)+K2)</f>
        <v>0</v>
      </c>
      <c r="L3">
        <f t="shared" ref="L3:L37" si="1">K3-J3</f>
        <v>0</v>
      </c>
    </row>
    <row r="4" spans="1:12" ht="15.75" customHeight="1" x14ac:dyDescent="0.15">
      <c r="A4" s="1">
        <v>3</v>
      </c>
      <c r="B4" s="39">
        <f xml:space="preserve">    IF(Simulatore!$B$22=3,      IF(ROW(B4)-2&lt;Simulatore!$B$14,'Calcoli Perseo'!G5,'Calcoli Perseo'!G5*(1+Simulatore!$B$17)^(ROW(B4)-2-Simulatore!$B$14)),    IF(Simulatore!$B$22=2,     IF(ROW(B4)-2&lt;Simulatore!$B$14,'Calcoli Perseo'!H5,'Calcoli Perseo'!H5*(1+Simulatore!$B$17)^(ROW(B4)-2-Simulatore!$B$14)),   IF(ROW(B4)-2&lt;Simulatore!$B$14,'Calcoli Perseo'!I5,'Calcoli Perseo'!I5*(1+Simulatore!$B$17)^(ROW(B4)-2-Simulatore!$B$14)) ))</f>
        <v>34167.8675</v>
      </c>
      <c r="C4" s="1">
        <f t="shared" si="0"/>
        <v>2360.9996442499996</v>
      </c>
      <c r="D4" s="30">
        <f xml:space="preserve"> IF(ROW(B4)-2&lt;Simulatore!$B$15,  0,  D3+0.83*D3*(Simulatore!$B$16*0.75+0.015)+C4)</f>
        <v>0</v>
      </c>
      <c r="E4" s="7">
        <f xml:space="preserve">  IF(ROW(B4)-2&lt;Simulatore!$B$15,0,       Simulatore!$B$18*B4+E3+0.75*Simulatore!$B$25*E3)</f>
        <v>0</v>
      </c>
      <c r="F4" s="31">
        <f xml:space="preserve"> IF(ROW(B4)-2&lt;Simulatore!$B$15,0,  Simulatore!$B$18*B4+F3)</f>
        <v>0</v>
      </c>
      <c r="G4">
        <f>IF(ROW(B4)-2&lt;Simulatore!$B$15,0, 'Calcoli Perseo'!A5+'Calcoli Perseo'!B5)</f>
        <v>0</v>
      </c>
      <c r="H4" s="14">
        <f>'Calcoli Perseo'!C5+'Calcoli Perseo'!D5</f>
        <v>0</v>
      </c>
      <c r="I4" s="15">
        <f>'Calcoli Perseo'!E5+'Calcoli Perseo'!F5</f>
        <v>0</v>
      </c>
      <c r="J4">
        <f>IF(ROW(B4)-2&lt;Simulatore!$B$15, 0, Simulatore!$B$18*B4+20+J3)</f>
        <v>0</v>
      </c>
      <c r="K4">
        <f xml:space="preserve"> IF(ROW(B4)-2&lt;Simulatore!$B$15,0, IF(B3&lt;15000,0.23,IF(B3&lt;28000,0.25,IF(B3&lt;50000,0.35,0.43)))*MIN(5164.57,0.02*B4)+K3)</f>
        <v>0</v>
      </c>
      <c r="L4">
        <f t="shared" si="1"/>
        <v>0</v>
      </c>
    </row>
    <row r="5" spans="1:12" ht="15.75" customHeight="1" x14ac:dyDescent="0.15">
      <c r="A5" s="1">
        <v>4</v>
      </c>
      <c r="B5" s="39">
        <f xml:space="preserve">    IF(Simulatore!$B$22=3,      IF(ROW(B5)-2&lt;Simulatore!$B$14,'Calcoli Perseo'!G6,'Calcoli Perseo'!G6*(1+Simulatore!$B$17)^(ROW(B5)-2-Simulatore!$B$14)),    IF(Simulatore!$B$22=2,     IF(ROW(B5)-2&lt;Simulatore!$B$14,'Calcoli Perseo'!H6,'Calcoli Perseo'!H6*(1+Simulatore!$B$17)^(ROW(B5)-2-Simulatore!$B$14)),   IF(ROW(B5)-2&lt;Simulatore!$B$14,'Calcoli Perseo'!I6,'Calcoli Perseo'!I6*(1+Simulatore!$B$17)^(ROW(B5)-2-Simulatore!$B$14)) ))</f>
        <v>36873.828333333331</v>
      </c>
      <c r="C5" s="1">
        <f t="shared" si="0"/>
        <v>2547.9815378333328</v>
      </c>
      <c r="D5" s="30">
        <f xml:space="preserve"> IF(ROW(B5)-2&lt;Simulatore!$B$15,  0,  D4+0.83*D4*(Simulatore!$B$16*0.75+0.015)+C5)</f>
        <v>0</v>
      </c>
      <c r="E5" s="7">
        <f xml:space="preserve">  IF(ROW(B5)-2&lt;Simulatore!$B$15,0,       Simulatore!$B$18*B5+E4+0.75*Simulatore!$B$25*E4)</f>
        <v>0</v>
      </c>
      <c r="F5" s="31">
        <f xml:space="preserve"> IF(ROW(B5)-2&lt;Simulatore!$B$15,0,  Simulatore!$B$18*B5+F4)</f>
        <v>0</v>
      </c>
      <c r="G5">
        <f>IF(ROW(B5)-2&lt;Simulatore!$B$15,0, 'Calcoli Perseo'!A6+'Calcoli Perseo'!B6)</f>
        <v>0</v>
      </c>
      <c r="H5" s="14">
        <f>'Calcoli Perseo'!C6+'Calcoli Perseo'!D6</f>
        <v>0</v>
      </c>
      <c r="I5" s="15">
        <f>'Calcoli Perseo'!E6+'Calcoli Perseo'!F6</f>
        <v>0</v>
      </c>
      <c r="J5">
        <f>IF(ROW(B5)-2&lt;Simulatore!$B$15, 0, Simulatore!$B$18*B5+20+J4)</f>
        <v>0</v>
      </c>
      <c r="K5">
        <f xml:space="preserve"> IF(ROW(B5)-2&lt;Simulatore!$B$15,0, IF(B4&lt;15000,0.23,IF(B4&lt;28000,0.25,IF(B4&lt;50000,0.35,0.43)))*MIN(5164.57,0.02*B5)+K4)</f>
        <v>0</v>
      </c>
      <c r="L5">
        <f t="shared" si="1"/>
        <v>0</v>
      </c>
    </row>
    <row r="6" spans="1:12" ht="15.75" customHeight="1" x14ac:dyDescent="0.15">
      <c r="A6" s="1">
        <v>5</v>
      </c>
      <c r="B6" s="39">
        <f xml:space="preserve">    IF(Simulatore!$B$22=3,      IF(ROW(B6)-2&lt;Simulatore!$B$14,'Calcoli Perseo'!G7,'Calcoli Perseo'!G7*(1+Simulatore!$B$17)^(ROW(B6)-2-Simulatore!$B$14)),    IF(Simulatore!$B$22=2,     IF(ROW(B6)-2&lt;Simulatore!$B$14,'Calcoli Perseo'!H7,'Calcoli Perseo'!H7*(1+Simulatore!$B$17)^(ROW(B6)-2-Simulatore!$B$14)),   IF(ROW(B6)-2&lt;Simulatore!$B$14,'Calcoli Perseo'!I7,'Calcoli Perseo'!I7*(1+Simulatore!$B$17)^(ROW(B6)-2-Simulatore!$B$14)) ))</f>
        <v>36873.828333333331</v>
      </c>
      <c r="C6" s="1">
        <f t="shared" si="0"/>
        <v>2547.9815378333328</v>
      </c>
      <c r="D6" s="30">
        <f xml:space="preserve"> IF(ROW(B6)-2&lt;Simulatore!$B$15,  0,  D5+0.83*D5*(Simulatore!$B$16*0.75+0.015)+C6)</f>
        <v>0</v>
      </c>
      <c r="E6" s="7">
        <f xml:space="preserve">  IF(ROW(B6)-2&lt;Simulatore!$B$15,0,       Simulatore!$B$18*B6+E5+0.75*Simulatore!$B$25*E5)</f>
        <v>0</v>
      </c>
      <c r="F6" s="31">
        <f xml:space="preserve"> IF(ROW(B6)-2&lt;Simulatore!$B$15,0,  Simulatore!$B$18*B6+F5)</f>
        <v>0</v>
      </c>
      <c r="G6">
        <f>IF(ROW(B6)-2&lt;Simulatore!$B$15,0, 'Calcoli Perseo'!A7+'Calcoli Perseo'!B7)</f>
        <v>0</v>
      </c>
      <c r="H6" s="14">
        <f>'Calcoli Perseo'!C7+'Calcoli Perseo'!D7</f>
        <v>0</v>
      </c>
      <c r="I6" s="15">
        <f>'Calcoli Perseo'!E7+'Calcoli Perseo'!F7</f>
        <v>0</v>
      </c>
      <c r="J6">
        <f>IF(ROW(B6)-2&lt;Simulatore!$B$15, 0, Simulatore!$B$18*B6+20+J5)</f>
        <v>0</v>
      </c>
      <c r="K6">
        <f xml:space="preserve"> IF(ROW(B6)-2&lt;Simulatore!$B$15,0, IF(B5&lt;15000,0.23,IF(B5&lt;28000,0.25,IF(B5&lt;50000,0.35,0.43)))*MIN(5164.57,0.02*B6)+K5)</f>
        <v>0</v>
      </c>
      <c r="L6">
        <f t="shared" si="1"/>
        <v>0</v>
      </c>
    </row>
    <row r="7" spans="1:12" ht="15.75" customHeight="1" x14ac:dyDescent="0.15">
      <c r="A7" s="1">
        <v>6</v>
      </c>
      <c r="B7" s="39">
        <f xml:space="preserve">    IF(Simulatore!$B$22=3,      IF(ROW(B7)-2&lt;Simulatore!$B$14,'Calcoli Perseo'!G8,'Calcoli Perseo'!G8*(1+Simulatore!$B$17)^(ROW(B7)-2-Simulatore!$B$14)),    IF(Simulatore!$B$22=2,     IF(ROW(B7)-2&lt;Simulatore!$B$14,'Calcoli Perseo'!H8,'Calcoli Perseo'!H8*(1+Simulatore!$B$17)^(ROW(B7)-2-Simulatore!$B$14)),   IF(ROW(B7)-2&lt;Simulatore!$B$14,'Calcoli Perseo'!I8,'Calcoli Perseo'!I8*(1+Simulatore!$B$17)^(ROW(B7)-2-Simulatore!$B$14)) ))</f>
        <v>36873.828333333331</v>
      </c>
      <c r="C7" s="1">
        <f t="shared" si="0"/>
        <v>2547.9815378333328</v>
      </c>
      <c r="D7" s="30">
        <f xml:space="preserve"> IF(ROW(B7)-2&lt;Simulatore!$B$15,  0,  D6+0.83*D6*(Simulatore!$B$16*0.75+0.015)+C7)</f>
        <v>2547.9815378333328</v>
      </c>
      <c r="E7" s="7">
        <f xml:space="preserve">  IF(ROW(B7)-2&lt;Simulatore!$B$15,0,       Simulatore!$B$18*B7+E6+0.75*Simulatore!$B$25*E6)</f>
        <v>368.7382833333333</v>
      </c>
      <c r="F7" s="31">
        <f xml:space="preserve"> IF(ROW(B7)-2&lt;Simulatore!$B$15,0,  Simulatore!$B$18*B7+F6)</f>
        <v>368.7382833333333</v>
      </c>
      <c r="G7">
        <f>IF(ROW(B7)-2&lt;Simulatore!$B$15,0, 'Calcoli Perseo'!A8+'Calcoli Perseo'!B8)</f>
        <v>3285.4581044999995</v>
      </c>
      <c r="H7" s="14">
        <f>'Calcoli Perseo'!C8+'Calcoli Perseo'!D8</f>
        <v>3285.4581044999995</v>
      </c>
      <c r="I7" s="15">
        <f>'Calcoli Perseo'!E8+'Calcoli Perseo'!F8</f>
        <v>3285.4581044999995</v>
      </c>
      <c r="J7">
        <f>IF(ROW(B7)-2&lt;Simulatore!$B$15, 0, Simulatore!$B$18*B7+20+J6)</f>
        <v>388.7382833333333</v>
      </c>
      <c r="K7">
        <f xml:space="preserve"> IF(ROW(B7)-2&lt;Simulatore!$B$15,0, IF(B6&lt;15000,0.23,IF(B6&lt;28000,0.25,IF(B6&lt;50000,0.35,0.43)))*MIN(5164.57,0.02*B7)+K6)</f>
        <v>258.11679833333329</v>
      </c>
      <c r="L7">
        <f t="shared" si="1"/>
        <v>-130.62148500000001</v>
      </c>
    </row>
    <row r="8" spans="1:12" ht="15.75" customHeight="1" x14ac:dyDescent="0.15">
      <c r="A8" s="1">
        <v>7</v>
      </c>
      <c r="B8" s="39">
        <f xml:space="preserve">    IF(Simulatore!$B$22=3,      IF(ROW(B8)-2&lt;Simulatore!$B$14,'Calcoli Perseo'!G9,'Calcoli Perseo'!G9*(1+Simulatore!$B$17)^(ROW(B8)-2-Simulatore!$B$14)),    IF(Simulatore!$B$22=2,     IF(ROW(B8)-2&lt;Simulatore!$B$14,'Calcoli Perseo'!H9,'Calcoli Perseo'!H9*(1+Simulatore!$B$17)^(ROW(B8)-2-Simulatore!$B$14)),   IF(ROW(B8)-2&lt;Simulatore!$B$14,'Calcoli Perseo'!I9,'Calcoli Perseo'!I9*(1+Simulatore!$B$17)^(ROW(B8)-2-Simulatore!$B$14)) ))</f>
        <v>37242.566616666663</v>
      </c>
      <c r="C8" s="1">
        <f t="shared" si="0"/>
        <v>2573.4613532116664</v>
      </c>
      <c r="D8" s="30">
        <f xml:space="preserve"> IF(ROW(B8)-2&lt;Simulatore!$B$15,  0,  D7+0.83*D7*(Simulatore!$B$16*0.75+0.015)+C8)</f>
        <v>5184.8876313370492</v>
      </c>
      <c r="E8" s="7">
        <f xml:space="preserve">  IF(ROW(B8)-2&lt;Simulatore!$B$15,0,       Simulatore!$B$18*B8+E7+0.75*Simulatore!$B$25*E7)</f>
        <v>752.22609799999998</v>
      </c>
      <c r="F8" s="31">
        <f xml:space="preserve"> IF(ROW(B8)-2&lt;Simulatore!$B$15,0,  Simulatore!$B$18*B8+F7)</f>
        <v>741.16394949999994</v>
      </c>
      <c r="G8">
        <f>IF(ROW(B8)-2&lt;Simulatore!$B$15,0, 'Calcoli Perseo'!A9+'Calcoli Perseo'!B9)</f>
        <v>3318.3126855449996</v>
      </c>
      <c r="H8" s="14">
        <f>'Calcoli Perseo'!C9+'Calcoli Perseo'!D9</f>
        <v>6681.6361471216487</v>
      </c>
      <c r="I8" s="15">
        <f>'Calcoli Perseo'!E9+'Calcoli Perseo'!F9</f>
        <v>6661.2663068737475</v>
      </c>
      <c r="J8">
        <f>IF(ROW(B8)-2&lt;Simulatore!$B$15, 0, Simulatore!$B$18*B8+20+J7)</f>
        <v>781.16394949999994</v>
      </c>
      <c r="K8">
        <f xml:space="preserve"> IF(ROW(B8)-2&lt;Simulatore!$B$15,0, IF(B7&lt;15000,0.23,IF(B7&lt;28000,0.25,IF(B7&lt;50000,0.35,0.43)))*MIN(5164.57,0.02*B8)+K7)</f>
        <v>518.81476464999992</v>
      </c>
      <c r="L8">
        <f t="shared" si="1"/>
        <v>-262.34918485000003</v>
      </c>
    </row>
    <row r="9" spans="1:12" ht="15.75" customHeight="1" x14ac:dyDescent="0.15">
      <c r="A9" s="1">
        <v>8</v>
      </c>
      <c r="B9" s="39">
        <f xml:space="preserve">    IF(Simulatore!$B$22=3,      IF(ROW(B9)-2&lt;Simulatore!$B$14,'Calcoli Perseo'!G10,'Calcoli Perseo'!G10*(1+Simulatore!$B$17)^(ROW(B9)-2-Simulatore!$B$14)),    IF(Simulatore!$B$22=2,     IF(ROW(B9)-2&lt;Simulatore!$B$14,'Calcoli Perseo'!H10,'Calcoli Perseo'!H10*(1+Simulatore!$B$17)^(ROW(B9)-2-Simulatore!$B$14)),   IF(ROW(B9)-2&lt;Simulatore!$B$14,'Calcoli Perseo'!I10,'Calcoli Perseo'!I10*(1+Simulatore!$B$17)^(ROW(B9)-2-Simulatore!$B$14)) ))</f>
        <v>37614.992282833329</v>
      </c>
      <c r="C9" s="1">
        <f t="shared" si="0"/>
        <v>2599.1959667437827</v>
      </c>
      <c r="D9" s="30">
        <f xml:space="preserve"> IF(ROW(B9)-2&lt;Simulatore!$B$15,  0,  D8+0.83*D8*(Simulatore!$B$16*0.75+0.015)+C9)</f>
        <v>7913.1873001011245</v>
      </c>
      <c r="E9" s="7">
        <f xml:space="preserve">  IF(ROW(B9)-2&lt;Simulatore!$B$15,0,       Simulatore!$B$18*B9+E8+0.75*Simulatore!$B$25*E8)</f>
        <v>1150.9428037683333</v>
      </c>
      <c r="F9" s="31">
        <f xml:space="preserve"> IF(ROW(B9)-2&lt;Simulatore!$B$15,0,  Simulatore!$B$18*B9+F8)</f>
        <v>1117.3138723283332</v>
      </c>
      <c r="G9">
        <f>IF(ROW(B9)-2&lt;Simulatore!$B$15,0, 'Calcoli Perseo'!A10+'Calcoli Perseo'!B10)</f>
        <v>3351.4958124004493</v>
      </c>
      <c r="H9" s="14">
        <f>'Calcoli Perseo'!C10+'Calcoli Perseo'!D10</f>
        <v>10191.486736208881</v>
      </c>
      <c r="I9" s="15">
        <f>'Calcoli Perseo'!E10+'Calcoli Perseo'!F10</f>
        <v>10129.334279644487</v>
      </c>
      <c r="J9">
        <f>IF(ROW(B9)-2&lt;Simulatore!$B$15, 0, Simulatore!$B$18*B9+20+J8)</f>
        <v>1177.3138723283332</v>
      </c>
      <c r="K9">
        <f xml:space="preserve"> IF(ROW(B9)-2&lt;Simulatore!$B$15,0, IF(B8&lt;15000,0.23,IF(B8&lt;28000,0.25,IF(B8&lt;50000,0.35,0.43)))*MIN(5164.57,0.02*B9)+K8)</f>
        <v>782.11971062983321</v>
      </c>
      <c r="L9">
        <f t="shared" si="1"/>
        <v>-395.19416169850001</v>
      </c>
    </row>
    <row r="10" spans="1:12" ht="15.75" customHeight="1" x14ac:dyDescent="0.15">
      <c r="A10" s="1">
        <v>9</v>
      </c>
      <c r="B10" s="39">
        <f xml:space="preserve">    IF(Simulatore!$B$22=3,      IF(ROW(B10)-2&lt;Simulatore!$B$14,'Calcoli Perseo'!G11,'Calcoli Perseo'!G11*(1+Simulatore!$B$17)^(ROW(B10)-2-Simulatore!$B$14)),    IF(Simulatore!$B$22=2,     IF(ROW(B10)-2&lt;Simulatore!$B$14,'Calcoli Perseo'!H11,'Calcoli Perseo'!H11*(1+Simulatore!$B$17)^(ROW(B10)-2-Simulatore!$B$14)),   IF(ROW(B10)-2&lt;Simulatore!$B$14,'Calcoli Perseo'!I11,'Calcoli Perseo'!I11*(1+Simulatore!$B$17)^(ROW(B10)-2-Simulatore!$B$14)) ))</f>
        <v>40876.804953540828</v>
      </c>
      <c r="C10" s="1">
        <f t="shared" si="0"/>
        <v>2824.587222289671</v>
      </c>
      <c r="D10" s="30">
        <f xml:space="preserve"> IF(ROW(B10)-2&lt;Simulatore!$B$15,  0,  D9+0.83*D9*(Simulatore!$B$16*0.75+0.015)+C10)</f>
        <v>10934.812886163314</v>
      </c>
      <c r="E10" s="7">
        <f xml:space="preserve">  IF(ROW(B10)-2&lt;Simulatore!$B$15,0,       Simulatore!$B$18*B10+E9+0.75*Simulatore!$B$25*E9)</f>
        <v>1594.2391374167917</v>
      </c>
      <c r="F10" s="31">
        <f xml:space="preserve"> IF(ROW(B10)-2&lt;Simulatore!$B$15,0,  Simulatore!$B$18*B10+F9)</f>
        <v>1526.0819218637416</v>
      </c>
      <c r="G10">
        <f>IF(ROW(B10)-2&lt;Simulatore!$B$15,0, 'Calcoli Perseo'!A11+'Calcoli Perseo'!B11)</f>
        <v>3642.1233213604874</v>
      </c>
      <c r="H10" s="14">
        <f>'Calcoli Perseo'!C11+'Calcoli Perseo'!D11</f>
        <v>14075.14829321752</v>
      </c>
      <c r="I10" s="15">
        <f>'Calcoli Perseo'!E11+'Calcoli Perseo'!F11</f>
        <v>13948.720950898751</v>
      </c>
      <c r="J10">
        <f>IF(ROW(B10)-2&lt;Simulatore!$B$15, 0, Simulatore!$B$18*B10+20+J9)</f>
        <v>1606.0819218637416</v>
      </c>
      <c r="K10">
        <f xml:space="preserve"> IF(ROW(B10)-2&lt;Simulatore!$B$15,0, IF(B9&lt;15000,0.23,IF(B9&lt;28000,0.25,IF(B9&lt;50000,0.35,0.43)))*MIN(5164.57,0.02*B10)+K9)</f>
        <v>1068.2573453046189</v>
      </c>
      <c r="L10">
        <f t="shared" si="1"/>
        <v>-537.82457655912276</v>
      </c>
    </row>
    <row r="11" spans="1:12" ht="15.75" customHeight="1" x14ac:dyDescent="0.15">
      <c r="A11" s="1">
        <v>10</v>
      </c>
      <c r="B11" s="39">
        <f xml:space="preserve">    IF(Simulatore!$B$22=3,      IF(ROW(B11)-2&lt;Simulatore!$B$14,'Calcoli Perseo'!G12,'Calcoli Perseo'!G12*(1+Simulatore!$B$17)^(ROW(B11)-2-Simulatore!$B$14)),    IF(Simulatore!$B$22=2,     IF(ROW(B11)-2&lt;Simulatore!$B$14,'Calcoli Perseo'!H12,'Calcoli Perseo'!H12*(1+Simulatore!$B$17)^(ROW(B11)-2-Simulatore!$B$14)),   IF(ROW(B11)-2&lt;Simulatore!$B$14,'Calcoli Perseo'!I12,'Calcoli Perseo'!I12*(1+Simulatore!$B$17)^(ROW(B11)-2-Simulatore!$B$14)) ))</f>
        <v>41285.573003076242</v>
      </c>
      <c r="C11" s="1">
        <f t="shared" si="0"/>
        <v>2852.8330945125681</v>
      </c>
      <c r="D11" s="30">
        <f xml:space="preserve"> IF(ROW(B11)-2&lt;Simulatore!$B$15,  0,  D10+0.83*D10*(Simulatore!$B$16*0.75+0.015)+C11)</f>
        <v>14059.92282154135</v>
      </c>
      <c r="E11" s="7">
        <f xml:space="preserve">  IF(ROW(B11)-2&lt;Simulatore!$B$15,0,       Simulatore!$B$18*B11+E10+0.75*Simulatore!$B$25*E10)</f>
        <v>2054.9220415700579</v>
      </c>
      <c r="F11" s="31">
        <f xml:space="preserve"> IF(ROW(B11)-2&lt;Simulatore!$B$15,0,  Simulatore!$B$18*B11+F10)</f>
        <v>1938.9376518945041</v>
      </c>
      <c r="G11">
        <f>IF(ROW(B11)-2&lt;Simulatore!$B$15,0, 'Calcoli Perseo'!A12+'Calcoli Perseo'!B12)</f>
        <v>3678.5445545740931</v>
      </c>
      <c r="H11" s="14">
        <f>'Calcoli Perseo'!C12+'Calcoli Perseo'!D12</f>
        <v>18087.27386234087</v>
      </c>
      <c r="I11" s="15">
        <f>'Calcoli Perseo'!E12+'Calcoli Perseo'!F12</f>
        <v>17871.36812211357</v>
      </c>
      <c r="J11">
        <f>IF(ROW(B11)-2&lt;Simulatore!$B$15, 0, Simulatore!$B$18*B11+20+J10)</f>
        <v>2038.9376518945041</v>
      </c>
      <c r="K11">
        <f xml:space="preserve"> IF(ROW(B11)-2&lt;Simulatore!$B$15,0, IF(B10&lt;15000,0.23,IF(B10&lt;28000,0.25,IF(B10&lt;50000,0.35,0.43)))*MIN(5164.57,0.02*B11)+K10)</f>
        <v>1357.2563563261526</v>
      </c>
      <c r="L11">
        <f t="shared" si="1"/>
        <v>-681.68129556835152</v>
      </c>
    </row>
    <row r="12" spans="1:12" ht="15.75" customHeight="1" x14ac:dyDescent="0.15">
      <c r="A12" s="1">
        <v>11</v>
      </c>
      <c r="B12" s="39">
        <f xml:space="preserve">    IF(Simulatore!$B$22=3,      IF(ROW(B12)-2&lt;Simulatore!$B$14,'Calcoli Perseo'!G13,'Calcoli Perseo'!G13*(1+Simulatore!$B$17)^(ROW(B12)-2-Simulatore!$B$14)),    IF(Simulatore!$B$22=2,     IF(ROW(B12)-2&lt;Simulatore!$B$14,'Calcoli Perseo'!H13,'Calcoli Perseo'!H13*(1+Simulatore!$B$17)^(ROW(B12)-2-Simulatore!$B$14)),   IF(ROW(B12)-2&lt;Simulatore!$B$14,'Calcoli Perseo'!I13,'Calcoli Perseo'!I13*(1+Simulatore!$B$17)^(ROW(B12)-2-Simulatore!$B$14)) ))</f>
        <v>41698.428733107001</v>
      </c>
      <c r="C12" s="1">
        <f t="shared" si="0"/>
        <v>2881.3614254576937</v>
      </c>
      <c r="D12" s="30">
        <f xml:space="preserve"> IF(ROW(B12)-2&lt;Simulatore!$B$15,  0,  D11+0.83*D11*(Simulatore!$B$16*0.75+0.015)+C12)</f>
        <v>17291.376325255424</v>
      </c>
      <c r="E12" s="7">
        <f xml:space="preserve">  IF(ROW(B12)-2&lt;Simulatore!$B$15,0,       Simulatore!$B$18*B12+E11+0.75*Simulatore!$B$25*E11)</f>
        <v>2533.5539901482298</v>
      </c>
      <c r="F12" s="31">
        <f xml:space="preserve"> IF(ROW(B12)-2&lt;Simulatore!$B$15,0,  Simulatore!$B$18*B12+F11)</f>
        <v>2355.9219392255741</v>
      </c>
      <c r="G12">
        <f>IF(ROW(B12)-2&lt;Simulatore!$B$15,0, 'Calcoli Perseo'!A13+'Calcoli Perseo'!B13)</f>
        <v>3715.3300001198336</v>
      </c>
      <c r="H12" s="14">
        <f>'Calcoli Perseo'!C13+'Calcoli Perseo'!D13</f>
        <v>22231.272252998184</v>
      </c>
      <c r="I12" s="15">
        <f>'Calcoli Perseo'!E13+'Calcoli Perseo'!F13</f>
        <v>21899.44706437039</v>
      </c>
      <c r="J12">
        <f>IF(ROW(B12)-2&lt;Simulatore!$B$15, 0, Simulatore!$B$18*B12+20+J11)</f>
        <v>2475.9219392255741</v>
      </c>
      <c r="K12">
        <f xml:space="preserve"> IF(ROW(B12)-2&lt;Simulatore!$B$15,0, IF(B11&lt;15000,0.23,IF(B11&lt;28000,0.25,IF(B11&lt;50000,0.35,0.43)))*MIN(5164.57,0.02*B12)+K11)</f>
        <v>1649.1453574579016</v>
      </c>
      <c r="L12">
        <f t="shared" si="1"/>
        <v>-826.7765817676725</v>
      </c>
    </row>
    <row r="13" spans="1:12" ht="15.75" customHeight="1" x14ac:dyDescent="0.15">
      <c r="A13" s="1">
        <v>12</v>
      </c>
      <c r="B13" s="39">
        <f xml:space="preserve">    IF(Simulatore!$B$22=3,      IF(ROW(B13)-2&lt;Simulatore!$B$14,'Calcoli Perseo'!G14,'Calcoli Perseo'!G14*(1+Simulatore!$B$17)^(ROW(B13)-2-Simulatore!$B$14)),    IF(Simulatore!$B$22=2,     IF(ROW(B13)-2&lt;Simulatore!$B$14,'Calcoli Perseo'!H14,'Calcoli Perseo'!H14*(1+Simulatore!$B$17)^(ROW(B13)-2-Simulatore!$B$14)),   IF(ROW(B13)-2&lt;Simulatore!$B$14,'Calcoli Perseo'!I14,'Calcoli Perseo'!I14*(1+Simulatore!$B$17)^(ROW(B13)-2-Simulatore!$B$14)) ))</f>
        <v>42115.413020438078</v>
      </c>
      <c r="C13" s="1">
        <f t="shared" si="0"/>
        <v>2910.175039712271</v>
      </c>
      <c r="D13" s="30">
        <f xml:space="preserve"> IF(ROW(B13)-2&lt;Simulatore!$B$15,  0,  D12+0.83*D12*(Simulatore!$B$16*0.75+0.015)+C13)</f>
        <v>20632.106635466553</v>
      </c>
      <c r="E13" s="7">
        <f xml:space="preserve">  IF(ROW(B13)-2&lt;Simulatore!$B$15,0,       Simulatore!$B$18*B13+E12+0.75*Simulatore!$B$25*E12)</f>
        <v>3030.7147400570575</v>
      </c>
      <c r="F13" s="31">
        <f xml:space="preserve"> IF(ROW(B13)-2&lt;Simulatore!$B$15,0,  Simulatore!$B$18*B13+F12)</f>
        <v>2777.0760694299547</v>
      </c>
      <c r="G13">
        <f>IF(ROW(B13)-2&lt;Simulatore!$B$15,0, 'Calcoli Perseo'!A14+'Calcoli Perseo'!B14)</f>
        <v>3752.4833001210327</v>
      </c>
      <c r="H13" s="14">
        <f>'Calcoli Perseo'!C14+'Calcoli Perseo'!D14</f>
        <v>26510.636705515277</v>
      </c>
      <c r="I13" s="15">
        <f>'Calcoli Perseo'!E14+'Calcoli Perseo'!F14</f>
        <v>26035.170688117898</v>
      </c>
      <c r="J13">
        <f>IF(ROW(B13)-2&lt;Simulatore!$B$15, 0, Simulatore!$B$18*B13+20+J12)</f>
        <v>2917.0760694299547</v>
      </c>
      <c r="K13">
        <f xml:space="preserve"> IF(ROW(B13)-2&lt;Simulatore!$B$15,0, IF(B12&lt;15000,0.23,IF(B12&lt;28000,0.25,IF(B12&lt;50000,0.35,0.43)))*MIN(5164.57,0.02*B13)+K12)</f>
        <v>1943.9532486009682</v>
      </c>
      <c r="L13">
        <f t="shared" si="1"/>
        <v>-973.12282082898651</v>
      </c>
    </row>
    <row r="14" spans="1:12" ht="15.75" customHeight="1" x14ac:dyDescent="0.15">
      <c r="A14" s="1">
        <v>13</v>
      </c>
      <c r="B14" s="39">
        <f xml:space="preserve">    IF(Simulatore!$B$22=3,      IF(ROW(B14)-2&lt;Simulatore!$B$14,'Calcoli Perseo'!G15,'Calcoli Perseo'!G15*(1+Simulatore!$B$17)^(ROW(B14)-2-Simulatore!$B$14)),    IF(Simulatore!$B$22=2,     IF(ROW(B14)-2&lt;Simulatore!$B$14,'Calcoli Perseo'!H15,'Calcoli Perseo'!H15*(1+Simulatore!$B$17)^(ROW(B14)-2-Simulatore!$B$14)),   IF(ROW(B14)-2&lt;Simulatore!$B$14,'Calcoli Perseo'!I15,'Calcoli Perseo'!I15*(1+Simulatore!$B$17)^(ROW(B14)-2-Simulatore!$B$14)) ))</f>
        <v>42536.567150642448</v>
      </c>
      <c r="C14" s="1">
        <f t="shared" si="0"/>
        <v>2939.276790109393</v>
      </c>
      <c r="D14" s="30">
        <f xml:space="preserve"> IF(ROW(B14)-2&lt;Simulatore!$B$15,  0,  D13+0.83*D13*(Simulatore!$B$16*0.75+0.015)+C14)</f>
        <v>24085.122880799063</v>
      </c>
      <c r="E14" s="7">
        <f xml:space="preserve">  IF(ROW(B14)-2&lt;Simulatore!$B$15,0,       Simulatore!$B$18*B14+E13+0.75*Simulatore!$B$25*E13)</f>
        <v>3547.0018537651936</v>
      </c>
      <c r="F14" s="31">
        <f xml:space="preserve"> IF(ROW(B14)-2&lt;Simulatore!$B$15,0,  Simulatore!$B$18*B14+F13)</f>
        <v>3202.4417409363791</v>
      </c>
      <c r="G14">
        <f>IF(ROW(B14)-2&lt;Simulatore!$B$15,0, 'Calcoli Perseo'!A15+'Calcoli Perseo'!B15)</f>
        <v>3790.0081331222418</v>
      </c>
      <c r="H14" s="14">
        <f>'Calcoli Perseo'!C15+'Calcoli Perseo'!D15</f>
        <v>30928.946928558231</v>
      </c>
      <c r="I14" s="15">
        <f>'Calcoli Perseo'!E15+'Calcoli Perseo'!F15</f>
        <v>30280.794308282202</v>
      </c>
      <c r="J14">
        <f>IF(ROW(B14)-2&lt;Simulatore!$B$15, 0, Simulatore!$B$18*B14+20+J13)</f>
        <v>3362.4417409363791</v>
      </c>
      <c r="K14">
        <f xml:space="preserve"> IF(ROW(B14)-2&lt;Simulatore!$B$15,0, IF(B13&lt;15000,0.23,IF(B13&lt;28000,0.25,IF(B13&lt;50000,0.35,0.43)))*MIN(5164.57,0.02*B14)+K13)</f>
        <v>2241.7092186554655</v>
      </c>
      <c r="L14">
        <f t="shared" si="1"/>
        <v>-1120.7325222809136</v>
      </c>
    </row>
    <row r="15" spans="1:12" ht="15.75" customHeight="1" x14ac:dyDescent="0.15">
      <c r="A15" s="1">
        <v>14</v>
      </c>
      <c r="B15" s="39">
        <f xml:space="preserve">    IF(Simulatore!$B$22=3,      IF(ROW(B15)-2&lt;Simulatore!$B$14,'Calcoli Perseo'!G16,'Calcoli Perseo'!G16*(1+Simulatore!$B$17)^(ROW(B15)-2-Simulatore!$B$14)),    IF(Simulatore!$B$22=2,     IF(ROW(B15)-2&lt;Simulatore!$B$14,'Calcoli Perseo'!H16,'Calcoli Perseo'!H16*(1+Simulatore!$B$17)^(ROW(B15)-2-Simulatore!$B$14)),   IF(ROW(B15)-2&lt;Simulatore!$B$14,'Calcoli Perseo'!I16,'Calcoli Perseo'!I16*(1+Simulatore!$B$17)^(ROW(B15)-2-Simulatore!$B$14)) ))</f>
        <v>46086.775731848058</v>
      </c>
      <c r="C15" s="1">
        <f t="shared" si="0"/>
        <v>3184.5962030707005</v>
      </c>
      <c r="D15" s="30">
        <f xml:space="preserve"> IF(ROW(B15)-2&lt;Simulatore!$B$15,  0,  D14+0.83*D14*(Simulatore!$B$16*0.75+0.015)+C15)</f>
        <v>27869.438643601661</v>
      </c>
      <c r="E15" s="7">
        <f xml:space="preserve">  IF(ROW(B15)-2&lt;Simulatore!$B$15,0,       Simulatore!$B$18*B15+E14+0.75*Simulatore!$B$25*E14)</f>
        <v>4114.2796666966296</v>
      </c>
      <c r="F15" s="31">
        <f xml:space="preserve"> IF(ROW(B15)-2&lt;Simulatore!$B$15,0,  Simulatore!$B$18*B15+F14)</f>
        <v>3663.3094982548596</v>
      </c>
      <c r="G15">
        <f>IF(ROW(B15)-2&lt;Simulatore!$B$15,0, 'Calcoli Perseo'!A16+'Calcoli Perseo'!B16)</f>
        <v>4106.3317177076615</v>
      </c>
      <c r="H15" s="14">
        <f>'Calcoli Perseo'!C16+'Calcoli Perseo'!D16</f>
        <v>35768.294688472728</v>
      </c>
      <c r="I15" s="15">
        <f>'Calcoli Perseo'!E16+'Calcoli Perseo'!F16</f>
        <v>34917.039926384794</v>
      </c>
      <c r="J15">
        <f>IF(ROW(B15)-2&lt;Simulatore!$B$15, 0, Simulatore!$B$18*B15+20+J14)</f>
        <v>3843.3094982548596</v>
      </c>
      <c r="K15">
        <f xml:space="preserve"> IF(ROW(B15)-2&lt;Simulatore!$B$15,0, IF(B14&lt;15000,0.23,IF(B14&lt;28000,0.25,IF(B14&lt;50000,0.35,0.43)))*MIN(5164.57,0.02*B15)+K14)</f>
        <v>2564.3166487784019</v>
      </c>
      <c r="L15">
        <f t="shared" si="1"/>
        <v>-1278.9928494764576</v>
      </c>
    </row>
    <row r="16" spans="1:12" ht="15.75" customHeight="1" x14ac:dyDescent="0.15">
      <c r="A16" s="1">
        <v>15</v>
      </c>
      <c r="B16" s="39">
        <f xml:space="preserve">    IF(Simulatore!$B$22=3,      IF(ROW(B16)-2&lt;Simulatore!$B$14,'Calcoli Perseo'!G17,'Calcoli Perseo'!G17*(1+Simulatore!$B$17)^(ROW(B16)-2-Simulatore!$B$14)),    IF(Simulatore!$B$22=2,     IF(ROW(B16)-2&lt;Simulatore!$B$14,'Calcoli Perseo'!H17,'Calcoli Perseo'!H17*(1+Simulatore!$B$17)^(ROW(B16)-2-Simulatore!$B$14)),   IF(ROW(B16)-2&lt;Simulatore!$B$14,'Calcoli Perseo'!I17,'Calcoli Perseo'!I17*(1+Simulatore!$B$17)^(ROW(B16)-2-Simulatore!$B$14)) ))</f>
        <v>46547.643489166541</v>
      </c>
      <c r="C16" s="1">
        <f t="shared" si="0"/>
        <v>3216.4421651014077</v>
      </c>
      <c r="D16" s="30">
        <f xml:space="preserve"> IF(ROW(B16)-2&lt;Simulatore!$B$15,  0,  D15+0.83*D15*(Simulatore!$B$16*0.75+0.015)+C16)</f>
        <v>31779.829830928753</v>
      </c>
      <c r="E16" s="7">
        <f xml:space="preserve">  IF(ROW(B16)-2&lt;Simulatore!$B$15,0,       Simulatore!$B$18*B16+E15+0.75*Simulatore!$B$25*E15)</f>
        <v>4703.1844915891934</v>
      </c>
      <c r="F16" s="31">
        <f xml:space="preserve"> IF(ROW(B16)-2&lt;Simulatore!$B$15,0,  Simulatore!$B$18*B16+F15)</f>
        <v>4128.7859331465252</v>
      </c>
      <c r="G16">
        <f>IF(ROW(B16)-2&lt;Simulatore!$B$15,0, 'Calcoli Perseo'!A17+'Calcoli Perseo'!B17)</f>
        <v>4147.3950348847384</v>
      </c>
      <c r="H16" s="14">
        <f>'Calcoli Perseo'!C17+'Calcoli Perseo'!D17</f>
        <v>40763.398307474272</v>
      </c>
      <c r="I16" s="15">
        <f>'Calcoli Perseo'!E17+'Calcoli Perseo'!F17</f>
        <v>39675.483159981261</v>
      </c>
      <c r="J16">
        <f>IF(ROW(B16)-2&lt;Simulatore!$B$15, 0, Simulatore!$B$18*B16+20+J15)</f>
        <v>4328.7859331465252</v>
      </c>
      <c r="K16">
        <f xml:space="preserve"> IF(ROW(B16)-2&lt;Simulatore!$B$15,0, IF(B15&lt;15000,0.23,IF(B15&lt;28000,0.25,IF(B15&lt;50000,0.35,0.43)))*MIN(5164.57,0.02*B16)+K15)</f>
        <v>2890.1501532025677</v>
      </c>
      <c r="L16">
        <f t="shared" si="1"/>
        <v>-1438.6357799439575</v>
      </c>
    </row>
    <row r="17" spans="1:12" ht="15.75" customHeight="1" x14ac:dyDescent="0.15">
      <c r="A17" s="1">
        <v>16</v>
      </c>
      <c r="B17" s="39">
        <f xml:space="preserve">    IF(Simulatore!$B$22=3,      IF(ROW(B17)-2&lt;Simulatore!$B$14,'Calcoli Perseo'!G18,'Calcoli Perseo'!G18*(1+Simulatore!$B$17)^(ROW(B17)-2-Simulatore!$B$14)),    IF(Simulatore!$B$22=2,     IF(ROW(B17)-2&lt;Simulatore!$B$14,'Calcoli Perseo'!H18,'Calcoli Perseo'!H18*(1+Simulatore!$B$17)^(ROW(B17)-2-Simulatore!$B$14)),   IF(ROW(B17)-2&lt;Simulatore!$B$14,'Calcoli Perseo'!I18,'Calcoli Perseo'!I18*(1+Simulatore!$B$17)^(ROW(B17)-2-Simulatore!$B$14)) ))</f>
        <v>47013.119924058214</v>
      </c>
      <c r="C17" s="1">
        <f t="shared" si="0"/>
        <v>3248.6065867524221</v>
      </c>
      <c r="D17" s="30">
        <f xml:space="preserve"> IF(ROW(B17)-2&lt;Simulatore!$B$15,  0,  D16+0.83*D16*(Simulatore!$B$16*0.75+0.015)+C17)</f>
        <v>35819.754180471304</v>
      </c>
      <c r="E17" s="7">
        <f xml:space="preserve">  IF(ROW(B17)-2&lt;Simulatore!$B$15,0,       Simulatore!$B$18*B17+E16+0.75*Simulatore!$B$25*E16)</f>
        <v>5314.4112255774508</v>
      </c>
      <c r="F17" s="31">
        <f xml:space="preserve"> IF(ROW(B17)-2&lt;Simulatore!$B$15,0,  Simulatore!$B$18*B17+F16)</f>
        <v>4598.9171323871069</v>
      </c>
      <c r="G17">
        <f>IF(ROW(B17)-2&lt;Simulatore!$B$15,0, 'Calcoli Perseo'!A18+'Calcoli Perseo'!B18)</f>
        <v>4188.8689852335865</v>
      </c>
      <c r="H17" s="14">
        <f>'Calcoli Perseo'!C18+'Calcoli Perseo'!D18</f>
        <v>45918.359832595001</v>
      </c>
      <c r="I17" s="15">
        <f>'Calcoli Perseo'!E18+'Calcoli Perseo'!F18</f>
        <v>44558.673100514519</v>
      </c>
      <c r="J17">
        <f>IF(ROW(B17)-2&lt;Simulatore!$B$15, 0, Simulatore!$B$18*B17+20+J16)</f>
        <v>4818.9171323871069</v>
      </c>
      <c r="K17">
        <f xml:space="preserve"> IF(ROW(B17)-2&lt;Simulatore!$B$15,0, IF(B16&lt;15000,0.23,IF(B16&lt;28000,0.25,IF(B16&lt;50000,0.35,0.43)))*MIN(5164.57,0.02*B17)+K16)</f>
        <v>3219.2419926709754</v>
      </c>
      <c r="L17">
        <f t="shared" si="1"/>
        <v>-1599.6751397161315</v>
      </c>
    </row>
    <row r="18" spans="1:12" ht="15.75" customHeight="1" x14ac:dyDescent="0.15">
      <c r="A18" s="1">
        <v>17</v>
      </c>
      <c r="B18" s="39">
        <f xml:space="preserve">    IF(Simulatore!$B$22=3,      IF(ROW(B18)-2&lt;Simulatore!$B$14,'Calcoli Perseo'!G19,'Calcoli Perseo'!G19*(1+Simulatore!$B$17)^(ROW(B18)-2-Simulatore!$B$14)),    IF(Simulatore!$B$22=2,     IF(ROW(B18)-2&lt;Simulatore!$B$14,'Calcoli Perseo'!H19,'Calcoli Perseo'!H19*(1+Simulatore!$B$17)^(ROW(B18)-2-Simulatore!$B$14)),   IF(ROW(B18)-2&lt;Simulatore!$B$14,'Calcoli Perseo'!I19,'Calcoli Perseo'!I19*(1+Simulatore!$B$17)^(ROW(B18)-2-Simulatore!$B$14)) ))</f>
        <v>47483.251123298782</v>
      </c>
      <c r="C18" s="1">
        <f t="shared" si="0"/>
        <v>3281.0926526199455</v>
      </c>
      <c r="D18" s="30">
        <f xml:space="preserve"> IF(ROW(B18)-2&lt;Simulatore!$B$15,  0,  D17+0.83*D17*(Simulatore!$B$16*0.75+0.015)+C18)</f>
        <v>39992.758712184987</v>
      </c>
      <c r="E18" s="7">
        <f xml:space="preserve">  IF(ROW(B18)-2&lt;Simulatore!$B$15,0,       Simulatore!$B$18*B18+E17+0.75*Simulatore!$B$25*E17)</f>
        <v>5948.6760735777616</v>
      </c>
      <c r="F18" s="31">
        <f xml:space="preserve"> IF(ROW(B18)-2&lt;Simulatore!$B$15,0,  Simulatore!$B$18*B18+F17)</f>
        <v>5073.7496436200945</v>
      </c>
      <c r="G18">
        <f>IF(ROW(B18)-2&lt;Simulatore!$B$15,0, 'Calcoli Perseo'!A19+'Calcoli Perseo'!B19)</f>
        <v>4230.7576750859207</v>
      </c>
      <c r="H18" s="14">
        <f>'Calcoli Perseo'!C19+'Calcoli Perseo'!D19</f>
        <v>51237.382635713424</v>
      </c>
      <c r="I18" s="15">
        <f>'Calcoli Perseo'!E19+'Calcoli Perseo'!F19</f>
        <v>49569.207554859437</v>
      </c>
      <c r="J18">
        <f>IF(ROW(B18)-2&lt;Simulatore!$B$15, 0, Simulatore!$B$18*B18+20+J17)</f>
        <v>5313.7496436200945</v>
      </c>
      <c r="K18">
        <f xml:space="preserve"> IF(ROW(B18)-2&lt;Simulatore!$B$15,0, IF(B17&lt;15000,0.23,IF(B17&lt;28000,0.25,IF(B17&lt;50000,0.35,0.43)))*MIN(5164.57,0.02*B18)+K17)</f>
        <v>3551.6247505340671</v>
      </c>
      <c r="L18">
        <f t="shared" si="1"/>
        <v>-1762.1248930860274</v>
      </c>
    </row>
    <row r="19" spans="1:12" ht="15.75" customHeight="1" x14ac:dyDescent="0.15">
      <c r="A19" s="1">
        <v>18</v>
      </c>
      <c r="B19" s="39">
        <f xml:space="preserve">    IF(Simulatore!$B$22=3,      IF(ROW(B19)-2&lt;Simulatore!$B$14,'Calcoli Perseo'!G20,'Calcoli Perseo'!G20*(1+Simulatore!$B$17)^(ROW(B19)-2-Simulatore!$B$14)),    IF(Simulatore!$B$22=2,     IF(ROW(B19)-2&lt;Simulatore!$B$14,'Calcoli Perseo'!H20,'Calcoli Perseo'!H20*(1+Simulatore!$B$17)^(ROW(B19)-2-Simulatore!$B$14)),   IF(ROW(B19)-2&lt;Simulatore!$B$14,'Calcoli Perseo'!I20,'Calcoli Perseo'!I20*(1+Simulatore!$B$17)^(ROW(B19)-2-Simulatore!$B$14)) ))</f>
        <v>53743.304753482022</v>
      </c>
      <c r="C19" s="1">
        <f t="shared" si="0"/>
        <v>3713.6623584656072</v>
      </c>
      <c r="D19" s="30">
        <f xml:space="preserve"> IF(ROW(B19)-2&lt;Simulatore!$B$15,  0,  D18+0.83*D18*(Simulatore!$B$16*0.75+0.015)+C19)</f>
        <v>44702.240762583999</v>
      </c>
      <c r="E19" s="7">
        <f xml:space="preserve">  IF(ROW(B19)-2&lt;Simulatore!$B$15,0,       Simulatore!$B$18*B19+E18+0.75*Simulatore!$B$25*E18)</f>
        <v>6664.5694033199152</v>
      </c>
      <c r="F19" s="31">
        <f xml:space="preserve"> IF(ROW(B19)-2&lt;Simulatore!$B$15,0,  Simulatore!$B$18*B19+F18)</f>
        <v>5611.1826911549151</v>
      </c>
      <c r="G19">
        <f>IF(ROW(B19)-2&lt;Simulatore!$B$15,0, 'Calcoli Perseo'!A20+'Calcoli Perseo'!B20)</f>
        <v>4788.5284535352475</v>
      </c>
      <c r="H19" s="14">
        <f>'Calcoli Perseo'!C20+'Calcoli Perseo'!D20</f>
        <v>57240.237057715087</v>
      </c>
      <c r="I19" s="15">
        <f>'Calcoli Perseo'!E20+'Calcoli Perseo'!F20</f>
        <v>55225.197140604716</v>
      </c>
      <c r="J19">
        <f>IF(ROW(B19)-2&lt;Simulatore!$B$15, 0, Simulatore!$B$18*B19+20+J18)</f>
        <v>5871.1826911549151</v>
      </c>
      <c r="K19">
        <f xml:space="preserve"> IF(ROW(B19)-2&lt;Simulatore!$B$15,0, IF(B18&lt;15000,0.23,IF(B18&lt;28000,0.25,IF(B18&lt;50000,0.35,0.43)))*MIN(5164.57,0.02*B19)+K18)</f>
        <v>3927.8278838084411</v>
      </c>
      <c r="L19">
        <f t="shared" si="1"/>
        <v>-1943.354807346474</v>
      </c>
    </row>
    <row r="20" spans="1:12" ht="15.75" customHeight="1" x14ac:dyDescent="0.15">
      <c r="A20" s="1">
        <v>19</v>
      </c>
      <c r="B20" s="39">
        <f xml:space="preserve">    IF(Simulatore!$B$22=3,      IF(ROW(B20)-2&lt;Simulatore!$B$14,'Calcoli Perseo'!G21,'Calcoli Perseo'!G21*(1+Simulatore!$B$17)^(ROW(B20)-2-Simulatore!$B$14)),    IF(Simulatore!$B$22=2,     IF(ROW(B20)-2&lt;Simulatore!$B$14,'Calcoli Perseo'!H21,'Calcoli Perseo'!H21*(1+Simulatore!$B$17)^(ROW(B20)-2-Simulatore!$B$14)),   IF(ROW(B20)-2&lt;Simulatore!$B$14,'Calcoli Perseo'!I21,'Calcoli Perseo'!I21*(1+Simulatore!$B$17)^(ROW(B20)-2-Simulatore!$B$14)) ))</f>
        <v>54280.737801016847</v>
      </c>
      <c r="C20" s="1">
        <f t="shared" si="0"/>
        <v>3750.7989820502639</v>
      </c>
      <c r="D20" s="30">
        <f xml:space="preserve"> IF(ROW(B20)-2&lt;Simulatore!$B$15,  0,  D19+0.83*D19*(Simulatore!$B$16*0.75+0.015)+C20)</f>
        <v>49566.125539622604</v>
      </c>
      <c r="E20" s="7">
        <f xml:space="preserve">  IF(ROW(B20)-2&lt;Simulatore!$B$15,0,       Simulatore!$B$18*B20+E19+0.75*Simulatore!$B$25*E19)</f>
        <v>7407.3138634296811</v>
      </c>
      <c r="F20" s="31">
        <f xml:space="preserve"> IF(ROW(B20)-2&lt;Simulatore!$B$15,0,  Simulatore!$B$18*B20+F19)</f>
        <v>6153.9900691650837</v>
      </c>
      <c r="G20">
        <f>IF(ROW(B20)-2&lt;Simulatore!$B$15,0, 'Calcoli Perseo'!A21+'Calcoli Perseo'!B21)</f>
        <v>4836.4137380706006</v>
      </c>
      <c r="H20" s="14">
        <f>'Calcoli Perseo'!C21+'Calcoli Perseo'!D21</f>
        <v>63433.244414053537</v>
      </c>
      <c r="I20" s="15">
        <f>'Calcoli Perseo'!E21+'Calcoli Perseo'!F21</f>
        <v>61028.051828635886</v>
      </c>
      <c r="J20">
        <f>IF(ROW(B20)-2&lt;Simulatore!$B$15, 0, Simulatore!$B$18*B20+20+J19)</f>
        <v>6433.9900691650837</v>
      </c>
      <c r="K20">
        <f xml:space="preserve"> IF(ROW(B20)-2&lt;Simulatore!$B$15,0, IF(B19&lt;15000,0.23,IF(B19&lt;28000,0.25,IF(B19&lt;50000,0.35,0.43)))*MIN(5164.57,0.02*B20)+K19)</f>
        <v>4394.6422288971862</v>
      </c>
      <c r="L20">
        <f t="shared" si="1"/>
        <v>-2039.3478402678975</v>
      </c>
    </row>
    <row r="21" spans="1:12" ht="15.75" customHeight="1" x14ac:dyDescent="0.15">
      <c r="A21" s="1">
        <v>20</v>
      </c>
      <c r="B21" s="39">
        <f xml:space="preserve">    IF(Simulatore!$B$22=3,      IF(ROW(B21)-2&lt;Simulatore!$B$14,'Calcoli Perseo'!G22,'Calcoli Perseo'!G22*(1+Simulatore!$B$17)^(ROW(B21)-2-Simulatore!$B$14)),    IF(Simulatore!$B$22=2,     IF(ROW(B21)-2&lt;Simulatore!$B$14,'Calcoli Perseo'!H22,'Calcoli Perseo'!H22*(1+Simulatore!$B$17)^(ROW(B21)-2-Simulatore!$B$14)),   IF(ROW(B21)-2&lt;Simulatore!$B$14,'Calcoli Perseo'!I22,'Calcoli Perseo'!I22*(1+Simulatore!$B$17)^(ROW(B21)-2-Simulatore!$B$14)) ))</f>
        <v>54823.545179027016</v>
      </c>
      <c r="C21" s="1">
        <f t="shared" si="0"/>
        <v>3788.3069718707666</v>
      </c>
      <c r="D21" s="30">
        <f xml:space="preserve"> IF(ROW(B21)-2&lt;Simulatore!$B$15,  0,  D20+0.83*D20*(Simulatore!$B$16*0.75+0.015)+C21)</f>
        <v>54588.629037429972</v>
      </c>
      <c r="E21" s="7">
        <f xml:space="preserve">  IF(ROW(B21)-2&lt;Simulatore!$B$15,0,       Simulatore!$B$18*B21+E20+0.75*Simulatore!$B$25*E20)</f>
        <v>8177.7687311228419</v>
      </c>
      <c r="F21" s="31">
        <f xml:space="preserve"> IF(ROW(B21)-2&lt;Simulatore!$B$15,0,  Simulatore!$B$18*B21+F20)</f>
        <v>6702.2255209553541</v>
      </c>
      <c r="G21">
        <f>IF(ROW(B21)-2&lt;Simulatore!$B$15,0, 'Calcoli Perseo'!A22+'Calcoli Perseo'!B22)</f>
        <v>4884.7778754513074</v>
      </c>
      <c r="H21" s="14">
        <f>'Calcoli Perseo'!C22+'Calcoli Perseo'!D22</f>
        <v>69821.390182117932</v>
      </c>
      <c r="I21" s="15">
        <f>'Calcoli Perseo'!E22+'Calcoli Perseo'!F22</f>
        <v>66980.820611088318</v>
      </c>
      <c r="J21">
        <f>IF(ROW(B21)-2&lt;Simulatore!$B$15, 0, Simulatore!$B$18*B21+20+J20)</f>
        <v>7002.2255209553541</v>
      </c>
      <c r="K21">
        <f xml:space="preserve"> IF(ROW(B21)-2&lt;Simulatore!$B$15,0, IF(B20&lt;15000,0.23,IF(B20&lt;28000,0.25,IF(B20&lt;50000,0.35,0.43)))*MIN(5164.57,0.02*B21)+K20)</f>
        <v>4866.1247174368182</v>
      </c>
      <c r="L21">
        <f t="shared" si="1"/>
        <v>-2136.1008035185359</v>
      </c>
    </row>
    <row r="22" spans="1:12" ht="15.75" customHeight="1" x14ac:dyDescent="0.15">
      <c r="A22" s="1">
        <v>21</v>
      </c>
      <c r="B22" s="39">
        <f xml:space="preserve">    IF(Simulatore!$B$22=3,      IF(ROW(B22)-2&lt;Simulatore!$B$14,'Calcoli Perseo'!G23,'Calcoli Perseo'!G23*(1+Simulatore!$B$17)^(ROW(B22)-2-Simulatore!$B$14)),    IF(Simulatore!$B$22=2,     IF(ROW(B22)-2&lt;Simulatore!$B$14,'Calcoli Perseo'!H23,'Calcoli Perseo'!H23*(1+Simulatore!$B$17)^(ROW(B22)-2-Simulatore!$B$14)),   IF(ROW(B22)-2&lt;Simulatore!$B$14,'Calcoli Perseo'!I23,'Calcoli Perseo'!I23*(1+Simulatore!$B$17)^(ROW(B22)-2-Simulatore!$B$14)) ))</f>
        <v>55371.780630817273</v>
      </c>
      <c r="C22" s="1">
        <f t="shared" si="0"/>
        <v>3826.1900415894734</v>
      </c>
      <c r="D22" s="30">
        <f xml:space="preserve"> IF(ROW(B22)-2&lt;Simulatore!$B$15,  0,  D21+0.83*D21*(Simulatore!$B$16*0.75+0.015)+C22)</f>
        <v>59774.075942051451</v>
      </c>
      <c r="E22" s="7">
        <f xml:space="preserve">  IF(ROW(B22)-2&lt;Simulatore!$B$15,0,       Simulatore!$B$18*B22+E21+0.75*Simulatore!$B$25*E21)</f>
        <v>8976.8195993646987</v>
      </c>
      <c r="F22" s="31">
        <f xml:space="preserve"> IF(ROW(B22)-2&lt;Simulatore!$B$15,0,  Simulatore!$B$18*B22+F21)</f>
        <v>7255.943327263527</v>
      </c>
      <c r="G22">
        <f>IF(ROW(B22)-2&lt;Simulatore!$B$15,0, 'Calcoli Perseo'!A23+'Calcoli Perseo'!B23)</f>
        <v>4933.625654205819</v>
      </c>
      <c r="H22" s="14">
        <f>'Calcoli Perseo'!C23+'Calcoli Perseo'!D23</f>
        <v>76409.782783639937</v>
      </c>
      <c r="I22" s="15">
        <f>'Calcoli Perseo'!E23+'Calcoli Perseo'!F23</f>
        <v>73086.610625988164</v>
      </c>
      <c r="J22">
        <f>IF(ROW(B22)-2&lt;Simulatore!$B$15, 0, Simulatore!$B$18*B22+20+J21)</f>
        <v>7575.943327263527</v>
      </c>
      <c r="K22">
        <f xml:space="preserve"> IF(ROW(B22)-2&lt;Simulatore!$B$15,0, IF(B21&lt;15000,0.23,IF(B21&lt;28000,0.25,IF(B21&lt;50000,0.35,0.43)))*MIN(5164.57,0.02*B22)+K21)</f>
        <v>5342.3220308618465</v>
      </c>
      <c r="L22">
        <f t="shared" si="1"/>
        <v>-2233.6212964016804</v>
      </c>
    </row>
    <row r="23" spans="1:12" ht="15.75" customHeight="1" x14ac:dyDescent="0.15">
      <c r="A23" s="1">
        <v>22</v>
      </c>
      <c r="B23" s="39">
        <f xml:space="preserve">    IF(Simulatore!$B$22=3,      IF(ROW(B23)-2&lt;Simulatore!$B$14,'Calcoli Perseo'!G24,'Calcoli Perseo'!G24*(1+Simulatore!$B$17)^(ROW(B23)-2-Simulatore!$B$14)),    IF(Simulatore!$B$22=2,     IF(ROW(B23)-2&lt;Simulatore!$B$14,'Calcoli Perseo'!H24,'Calcoli Perseo'!H24*(1+Simulatore!$B$17)^(ROW(B23)-2-Simulatore!$B$14)),   IF(ROW(B23)-2&lt;Simulatore!$B$14,'Calcoli Perseo'!I24,'Calcoli Perseo'!I24*(1+Simulatore!$B$17)^(ROW(B23)-2-Simulatore!$B$14)) ))</f>
        <v>55925.498437125461</v>
      </c>
      <c r="C23" s="1">
        <f t="shared" si="0"/>
        <v>3864.4519420053689</v>
      </c>
      <c r="D23" s="30">
        <f xml:space="preserve"> IF(ROW(B23)-2&lt;Simulatore!$B$15,  0,  D22+0.83*D22*(Simulatore!$B$16*0.75+0.015)+C23)</f>
        <v>65126.902375013902</v>
      </c>
      <c r="E23" s="7">
        <f xml:space="preserve">  IF(ROW(B23)-2&lt;Simulatore!$B$15,0,       Simulatore!$B$18*B23+E22+0.75*Simulatore!$B$25*E22)</f>
        <v>9805.3791717168951</v>
      </c>
      <c r="F23" s="31">
        <f xml:space="preserve"> IF(ROW(B23)-2&lt;Simulatore!$B$15,0,  Simulatore!$B$18*B23+F22)</f>
        <v>7815.1983116347819</v>
      </c>
      <c r="G23">
        <f>IF(ROW(B23)-2&lt;Simulatore!$B$15,0, 'Calcoli Perseo'!A24+'Calcoli Perseo'!B24)</f>
        <v>4982.9619107478784</v>
      </c>
      <c r="H23" s="14">
        <f>'Calcoli Perseo'!C24+'Calcoli Perseo'!D24</f>
        <v>83203.656546360085</v>
      </c>
      <c r="I23" s="15">
        <f>'Calcoli Perseo'!E24+'Calcoli Perseo'!F24</f>
        <v>79348.588222690829</v>
      </c>
      <c r="J23">
        <f>IF(ROW(B23)-2&lt;Simulatore!$B$15, 0, Simulatore!$B$18*B23+20+J22)</f>
        <v>8155.1983116347819</v>
      </c>
      <c r="K23">
        <f xml:space="preserve"> IF(ROW(B23)-2&lt;Simulatore!$B$15,0, IF(B22&lt;15000,0.23,IF(B22&lt;28000,0.25,IF(B22&lt;50000,0.35,0.43)))*MIN(5164.57,0.02*B23)+K22)</f>
        <v>5823.281317421126</v>
      </c>
      <c r="L23">
        <f t="shared" si="1"/>
        <v>-2331.9169942136559</v>
      </c>
    </row>
    <row r="24" spans="1:12" ht="15.75" customHeight="1" x14ac:dyDescent="0.15">
      <c r="A24" s="1">
        <v>23</v>
      </c>
      <c r="B24" s="39">
        <f xml:space="preserve">    IF(Simulatore!$B$22=3,      IF(ROW(B24)-2&lt;Simulatore!$B$14,'Calcoli Perseo'!G25,'Calcoli Perseo'!G25*(1+Simulatore!$B$17)^(ROW(B24)-2-Simulatore!$B$14)),    IF(Simulatore!$B$22=2,     IF(ROW(B24)-2&lt;Simulatore!$B$14,'Calcoli Perseo'!H25,'Calcoli Perseo'!H25*(1+Simulatore!$B$17)^(ROW(B24)-2-Simulatore!$B$14)),   IF(ROW(B24)-2&lt;Simulatore!$B$14,'Calcoli Perseo'!I25,'Calcoli Perseo'!I25*(1+Simulatore!$B$17)^(ROW(B24)-2-Simulatore!$B$14)) ))</f>
        <v>61364.835764385702</v>
      </c>
      <c r="C24" s="1">
        <f t="shared" si="0"/>
        <v>4240.3101513190513</v>
      </c>
      <c r="D24" s="30">
        <f xml:space="preserve"> IF(ROW(B24)-2&lt;Simulatore!$B$15,  0,  D23+0.83*D23*(Simulatore!$B$16*0.75+0.015)+C24)</f>
        <v>70988.872395470797</v>
      </c>
      <c r="E24" s="7">
        <f xml:space="preserve">  IF(ROW(B24)-2&lt;Simulatore!$B$15,0,       Simulatore!$B$18*B24+E23+0.75*Simulatore!$B$25*E23)</f>
        <v>10713.188904512259</v>
      </c>
      <c r="F24" s="31">
        <f xml:space="preserve"> IF(ROW(B24)-2&lt;Simulatore!$B$15,0,  Simulatore!$B$18*B24+F23)</f>
        <v>8428.8466692786387</v>
      </c>
      <c r="G24">
        <f>IF(ROW(B24)-2&lt;Simulatore!$B$15,0, 'Calcoli Perseo'!A25+'Calcoli Perseo'!B25)</f>
        <v>5467.6068666067658</v>
      </c>
      <c r="H24" s="14">
        <f>'Calcoli Perseo'!C25+'Calcoli Perseo'!D25</f>
        <v>90643.190073115591</v>
      </c>
      <c r="I24" s="15">
        <f>'Calcoli Perseo'!E25+'Calcoli Perseo'!F25</f>
        <v>86204.795383194665</v>
      </c>
      <c r="J24">
        <f>IF(ROW(B24)-2&lt;Simulatore!$B$15, 0, Simulatore!$B$18*B24+20+J23)</f>
        <v>8788.8466692786387</v>
      </c>
      <c r="K24">
        <f xml:space="preserve"> IF(ROW(B24)-2&lt;Simulatore!$B$15,0, IF(B23&lt;15000,0.23,IF(B23&lt;28000,0.25,IF(B23&lt;50000,0.35,0.43)))*MIN(5164.57,0.02*B24)+K23)</f>
        <v>6351.0189049948431</v>
      </c>
      <c r="L24">
        <f t="shared" si="1"/>
        <v>-2437.8277642837957</v>
      </c>
    </row>
    <row r="25" spans="1:12" ht="15.75" customHeight="1" x14ac:dyDescent="0.15">
      <c r="A25" s="1">
        <v>24</v>
      </c>
      <c r="B25" s="39">
        <f xml:space="preserve">    IF(Simulatore!$B$22=3,      IF(ROW(B25)-2&lt;Simulatore!$B$14,'Calcoli Perseo'!G26,'Calcoli Perseo'!G26*(1+Simulatore!$B$17)^(ROW(B25)-2-Simulatore!$B$14)),    IF(Simulatore!$B$22=2,     IF(ROW(B25)-2&lt;Simulatore!$B$14,'Calcoli Perseo'!H26,'Calcoli Perseo'!H26*(1+Simulatore!$B$17)^(ROW(B25)-2-Simulatore!$B$14)),   IF(ROW(B25)-2&lt;Simulatore!$B$14,'Calcoli Perseo'!I26,'Calcoli Perseo'!I26*(1+Simulatore!$B$17)^(ROW(B25)-2-Simulatore!$B$14)) ))</f>
        <v>61978.484122029564</v>
      </c>
      <c r="C25" s="1">
        <f t="shared" si="0"/>
        <v>4282.7132528322427</v>
      </c>
      <c r="D25" s="30">
        <f xml:space="preserve"> IF(ROW(B25)-2&lt;Simulatore!$B$15,  0,  D24+0.83*D24*(Simulatore!$B$16*0.75+0.015)+C25)</f>
        <v>77039.208570950257</v>
      </c>
      <c r="E25" s="7">
        <f xml:space="preserve">  IF(ROW(B25)-2&lt;Simulatore!$B$15,0,       Simulatore!$B$18*B25+E24+0.75*Simulatore!$B$25*E24)</f>
        <v>11654.369412867922</v>
      </c>
      <c r="F25" s="31">
        <f xml:space="preserve"> IF(ROW(B25)-2&lt;Simulatore!$B$15,0,  Simulatore!$B$18*B25+F24)</f>
        <v>9048.6315104989335</v>
      </c>
      <c r="G25">
        <f>IF(ROW(B25)-2&lt;Simulatore!$B$15,0, 'Calcoli Perseo'!A26+'Calcoli Perseo'!B26)</f>
        <v>5522.282935272834</v>
      </c>
      <c r="H25" s="14">
        <f>'Calcoli Perseo'!C26+'Calcoli Perseo'!D26</f>
        <v>98313.716613121273</v>
      </c>
      <c r="I25" s="15">
        <f>'Calcoli Perseo'!E26+'Calcoli Perseo'!F26</f>
        <v>93235.662237673387</v>
      </c>
      <c r="J25">
        <f>IF(ROW(B25)-2&lt;Simulatore!$B$15, 0, Simulatore!$B$18*B25+20+J24)</f>
        <v>9428.6315104989335</v>
      </c>
      <c r="K25">
        <f xml:space="preserve"> IF(ROW(B25)-2&lt;Simulatore!$B$15,0, IF(B24&lt;15000,0.23,IF(B24&lt;28000,0.25,IF(B24&lt;50000,0.35,0.43)))*MIN(5164.57,0.02*B25)+K24)</f>
        <v>6884.0338684442977</v>
      </c>
      <c r="L25">
        <f t="shared" si="1"/>
        <v>-2544.5976420546358</v>
      </c>
    </row>
    <row r="26" spans="1:12" ht="15.75" customHeight="1" x14ac:dyDescent="0.15">
      <c r="A26" s="1">
        <v>25</v>
      </c>
      <c r="B26" s="39">
        <f xml:space="preserve">    IF(Simulatore!$B$22=3,      IF(ROW(B26)-2&lt;Simulatore!$B$14,'Calcoli Perseo'!G27,'Calcoli Perseo'!G27*(1+Simulatore!$B$17)^(ROW(B26)-2-Simulatore!$B$14)),    IF(Simulatore!$B$22=2,     IF(ROW(B26)-2&lt;Simulatore!$B$14,'Calcoli Perseo'!H27,'Calcoli Perseo'!H27*(1+Simulatore!$B$17)^(ROW(B26)-2-Simulatore!$B$14)),   IF(ROW(B26)-2&lt;Simulatore!$B$14,'Calcoli Perseo'!I27,'Calcoli Perseo'!I27*(1+Simulatore!$B$17)^(ROW(B26)-2-Simulatore!$B$14)) ))</f>
        <v>62598.268963249844</v>
      </c>
      <c r="C26" s="1">
        <f t="shared" si="0"/>
        <v>4325.540385360564</v>
      </c>
      <c r="D26" s="30">
        <f xml:space="preserve"> IF(ROW(B26)-2&lt;Simulatore!$B$15,  0,  D25+0.83*D25*(Simulatore!$B$16*0.75+0.015)+C26)</f>
        <v>83283.025249727492</v>
      </c>
      <c r="E26" s="7">
        <f xml:space="preserve">  IF(ROW(B26)-2&lt;Simulatore!$B$15,0,       Simulatore!$B$18*B26+E25+0.75*Simulatore!$B$25*E25)</f>
        <v>12629.983184886456</v>
      </c>
      <c r="F26" s="31">
        <f xml:space="preserve"> IF(ROW(B26)-2&lt;Simulatore!$B$15,0,  Simulatore!$B$18*B26+F25)</f>
        <v>9674.6142001314329</v>
      </c>
      <c r="G26">
        <f>IF(ROW(B26)-2&lt;Simulatore!$B$15,0, 'Calcoli Perseo'!A27+'Calcoli Perseo'!B27)</f>
        <v>5577.5057646255609</v>
      </c>
      <c r="H26" s="14">
        <f>'Calcoli Perseo'!C27+'Calcoli Perseo'!D27</f>
        <v>106221.25746147781</v>
      </c>
      <c r="I26" s="15">
        <f>'Calcoli Perseo'!E27+'Calcoli Perseo'!F27</f>
        <v>100444.79209145822</v>
      </c>
      <c r="J26">
        <f>IF(ROW(B26)-2&lt;Simulatore!$B$15, 0, Simulatore!$B$18*B26+20+J25)</f>
        <v>10074.614200131433</v>
      </c>
      <c r="K26">
        <f xml:space="preserve"> IF(ROW(B26)-2&lt;Simulatore!$B$15,0, IF(B25&lt;15000,0.23,IF(B25&lt;28000,0.25,IF(B25&lt;50000,0.35,0.43)))*MIN(5164.57,0.02*B26)+K25)</f>
        <v>7422.3789815282462</v>
      </c>
      <c r="L26">
        <f t="shared" si="1"/>
        <v>-2652.2352186031867</v>
      </c>
    </row>
    <row r="27" spans="1:12" ht="15.75" customHeight="1" x14ac:dyDescent="0.15">
      <c r="A27" s="1">
        <v>26</v>
      </c>
      <c r="B27" s="39">
        <f xml:space="preserve">    IF(Simulatore!$B$22=3,      IF(ROW(B27)-2&lt;Simulatore!$B$14,'Calcoli Perseo'!G28,'Calcoli Perseo'!G28*(1+Simulatore!$B$17)^(ROW(B27)-2-Simulatore!$B$14)),    IF(Simulatore!$B$22=2,     IF(ROW(B27)-2&lt;Simulatore!$B$14,'Calcoli Perseo'!H28,'Calcoli Perseo'!H28*(1+Simulatore!$B$17)^(ROW(B27)-2-Simulatore!$B$14)),   IF(ROW(B27)-2&lt;Simulatore!$B$14,'Calcoli Perseo'!I28,'Calcoli Perseo'!I28*(1+Simulatore!$B$17)^(ROW(B27)-2-Simulatore!$B$14)) ))</f>
        <v>63224.251652882347</v>
      </c>
      <c r="C27" s="1">
        <f t="shared" si="0"/>
        <v>4368.7957892141694</v>
      </c>
      <c r="D27" s="30">
        <f xml:space="preserve"> IF(ROW(B27)-2&lt;Simulatore!$B$15,  0,  D26+0.83*D26*(Simulatore!$B$16*0.75+0.015)+C27)</f>
        <v>89725.568367659871</v>
      </c>
      <c r="E27" s="7">
        <f xml:space="preserve">  IF(ROW(B27)-2&lt;Simulatore!$B$15,0,       Simulatore!$B$18*B27+E26+0.75*Simulatore!$B$25*E26)</f>
        <v>13641.125196961873</v>
      </c>
      <c r="F27" s="31">
        <f xml:space="preserve"> IF(ROW(B27)-2&lt;Simulatore!$B$15,0,  Simulatore!$B$18*B27+F26)</f>
        <v>10306.856716660257</v>
      </c>
      <c r="G27">
        <f>IF(ROW(B27)-2&lt;Simulatore!$B$15,0, 'Calcoli Perseo'!A28+'Calcoli Perseo'!B28)</f>
        <v>5633.2808222718159</v>
      </c>
      <c r="H27" s="14">
        <f>'Calcoli Perseo'!C28+'Calcoli Perseo'!D28</f>
        <v>114371.98208558666</v>
      </c>
      <c r="I27" s="15">
        <f>'Calcoli Perseo'!E28+'Calcoli Perseo'!F28</f>
        <v>107835.85677533055</v>
      </c>
      <c r="J27">
        <f>IF(ROW(B27)-2&lt;Simulatore!$B$15, 0, Simulatore!$B$18*B27+20+J26)</f>
        <v>10726.856716660257</v>
      </c>
      <c r="K27">
        <f xml:space="preserve"> IF(ROW(B27)-2&lt;Simulatore!$B$15,0, IF(B26&lt;15000,0.23,IF(B26&lt;28000,0.25,IF(B26&lt;50000,0.35,0.43)))*MIN(5164.57,0.02*B27)+K26)</f>
        <v>7966.1075457430343</v>
      </c>
      <c r="L27">
        <f t="shared" si="1"/>
        <v>-2760.7491709172227</v>
      </c>
    </row>
    <row r="28" spans="1:12" ht="15.75" customHeight="1" x14ac:dyDescent="0.15">
      <c r="A28" s="1">
        <v>27</v>
      </c>
      <c r="B28" s="39">
        <f xml:space="preserve">    IF(Simulatore!$B$22=3,      IF(ROW(B28)-2&lt;Simulatore!$B$14,'Calcoli Perseo'!G29,'Calcoli Perseo'!G29*(1+Simulatore!$B$17)^(ROW(B28)-2-Simulatore!$B$14)),    IF(Simulatore!$B$22=2,     IF(ROW(B28)-2&lt;Simulatore!$B$14,'Calcoli Perseo'!H29,'Calcoli Perseo'!H29*(1+Simulatore!$B$17)^(ROW(B28)-2-Simulatore!$B$14)),   IF(ROW(B28)-2&lt;Simulatore!$B$14,'Calcoli Perseo'!I29,'Calcoli Perseo'!I29*(1+Simulatore!$B$17)^(ROW(B28)-2-Simulatore!$B$14)) ))</f>
        <v>63856.494169411162</v>
      </c>
      <c r="C28" s="1">
        <f t="shared" si="0"/>
        <v>4412.4837471063111</v>
      </c>
      <c r="D28" s="30">
        <f xml:space="preserve"> IF(ROW(B28)-2&lt;Simulatore!$B$15,  0,  D27+0.83*D27*(Simulatore!$B$16*0.75+0.015)+C28)</f>
        <v>96372.21876712091</v>
      </c>
      <c r="E28" s="7">
        <f xml:space="preserve">  IF(ROW(B28)-2&lt;Simulatore!$B$15,0,       Simulatore!$B$18*B28+E27+0.75*Simulatore!$B$25*E27)</f>
        <v>14688.923894564841</v>
      </c>
      <c r="F28" s="31">
        <f xml:space="preserve"> IF(ROW(B28)-2&lt;Simulatore!$B$15,0,  Simulatore!$B$18*B28+F27)</f>
        <v>10945.421658354369</v>
      </c>
      <c r="G28">
        <f>IF(ROW(B28)-2&lt;Simulatore!$B$15,0, 'Calcoli Perseo'!A29+'Calcoli Perseo'!B29)</f>
        <v>5689.6136304945339</v>
      </c>
      <c r="H28" s="14">
        <f>'Calcoli Perseo'!C29+'Calcoli Perseo'!D29</f>
        <v>122772.2116915096</v>
      </c>
      <c r="I28" s="15">
        <f>'Calcoli Perseo'!E29+'Calcoli Perseo'!F29</f>
        <v>115412.59789939335</v>
      </c>
      <c r="J28">
        <f>IF(ROW(B28)-2&lt;Simulatore!$B$15, 0, Simulatore!$B$18*B28+20+J27)</f>
        <v>11385.421658354369</v>
      </c>
      <c r="K28">
        <f xml:space="preserve"> IF(ROW(B28)-2&lt;Simulatore!$B$15,0, IF(B27&lt;15000,0.23,IF(B27&lt;28000,0.25,IF(B27&lt;50000,0.35,0.43)))*MIN(5164.57,0.02*B28)+K27)</f>
        <v>8515.2733955999702</v>
      </c>
      <c r="L28">
        <f t="shared" si="1"/>
        <v>-2870.1482627543992</v>
      </c>
    </row>
    <row r="29" spans="1:12" ht="15.75" customHeight="1" x14ac:dyDescent="0.15">
      <c r="A29" s="1">
        <v>28</v>
      </c>
      <c r="B29" s="39">
        <f xml:space="preserve">    IF(Simulatore!$B$22=3,      IF(ROW(B29)-2&lt;Simulatore!$B$14,'Calcoli Perseo'!G30,'Calcoli Perseo'!G30*(1+Simulatore!$B$17)^(ROW(B29)-2-Simulatore!$B$14)),    IF(Simulatore!$B$22=2,     IF(ROW(B29)-2&lt;Simulatore!$B$14,'Calcoli Perseo'!H30,'Calcoli Perseo'!H30*(1+Simulatore!$B$17)^(ROW(B29)-2-Simulatore!$B$14)),   IF(ROW(B29)-2&lt;Simulatore!$B$14,'Calcoli Perseo'!I30,'Calcoli Perseo'!I30*(1+Simulatore!$B$17)^(ROW(B29)-2-Simulatore!$B$14)) ))</f>
        <v>64495.059111105293</v>
      </c>
      <c r="C29" s="1">
        <f t="shared" si="0"/>
        <v>4456.608584577375</v>
      </c>
      <c r="D29" s="30">
        <f xml:space="preserve"> IF(ROW(B29)-2&lt;Simulatore!$B$15,  0,  D28+0.83*D28*(Simulatore!$B$16*0.75+0.015)+C29)</f>
        <v>103228.49559899959</v>
      </c>
      <c r="E29" s="7">
        <f xml:space="preserve">  IF(ROW(B29)-2&lt;Simulatore!$B$15,0,       Simulatore!$B$18*B29+E28+0.75*Simulatore!$B$25*E28)</f>
        <v>15774.542202512841</v>
      </c>
      <c r="F29" s="31">
        <f xml:space="preserve"> IF(ROW(B29)-2&lt;Simulatore!$B$15,0,  Simulatore!$B$18*B29+F28)</f>
        <v>11590.372249465423</v>
      </c>
      <c r="G29">
        <f>IF(ROW(B29)-2&lt;Simulatore!$B$15,0, 'Calcoli Perseo'!A30+'Calcoli Perseo'!B30)</f>
        <v>5746.5097667994814</v>
      </c>
      <c r="H29" s="14">
        <f>'Calcoli Perseo'!C30+'Calcoli Perseo'!D30</f>
        <v>131428.42287539787</v>
      </c>
      <c r="I29" s="15">
        <f>'Calcoli Perseo'!E30+'Calcoli Perseo'!F30</f>
        <v>123178.82812943219</v>
      </c>
      <c r="J29">
        <f>IF(ROW(B29)-2&lt;Simulatore!$B$15, 0, Simulatore!$B$18*B29+20+J28)</f>
        <v>12050.372249465423</v>
      </c>
      <c r="K29">
        <f xml:space="preserve"> IF(ROW(B29)-2&lt;Simulatore!$B$15,0, IF(B28&lt;15000,0.23,IF(B28&lt;28000,0.25,IF(B28&lt;50000,0.35,0.43)))*MIN(5164.57,0.02*B29)+K28)</f>
        <v>9069.9309039554755</v>
      </c>
      <c r="L29">
        <f t="shared" si="1"/>
        <v>-2980.4413455099475</v>
      </c>
    </row>
    <row r="30" spans="1:12" ht="15.75" customHeight="1" x14ac:dyDescent="0.15">
      <c r="A30" s="1">
        <v>29</v>
      </c>
      <c r="B30" s="39">
        <f xml:space="preserve">    IF(Simulatore!$B$22=3,      IF(ROW(B30)-2&lt;Simulatore!$B$14,'Calcoli Perseo'!G31,'Calcoli Perseo'!G31*(1+Simulatore!$B$17)^(ROW(B30)-2-Simulatore!$B$14)),    IF(Simulatore!$B$22=2,     IF(ROW(B30)-2&lt;Simulatore!$B$14,'Calcoli Perseo'!H31,'Calcoli Perseo'!H31*(1+Simulatore!$B$17)^(ROW(B30)-2-Simulatore!$B$14)),   IF(ROW(B30)-2&lt;Simulatore!$B$14,'Calcoli Perseo'!I31,'Calcoli Perseo'!I31*(1+Simulatore!$B$17)^(ROW(B30)-2-Simulatore!$B$14)) ))</f>
        <v>65140.009702216332</v>
      </c>
      <c r="C30" s="1">
        <f t="shared" si="0"/>
        <v>4501.1746704231482</v>
      </c>
      <c r="D30" s="30">
        <f xml:space="preserve"> IF(ROW(B30)-2&lt;Simulatore!$B$15,  0,  D29+0.83*D29*(Simulatore!$B$16*0.75+0.015)+C30)</f>
        <v>110300.05980983783</v>
      </c>
      <c r="E30" s="7">
        <f xml:space="preserve">  IF(ROW(B30)-2&lt;Simulatore!$B$15,0,       Simulatore!$B$18*B30+E29+0.75*Simulatore!$B$25*E29)</f>
        <v>16899.178565610389</v>
      </c>
      <c r="F30" s="31">
        <f xml:space="preserve"> IF(ROW(B30)-2&lt;Simulatore!$B$15,0,  Simulatore!$B$18*B30+F29)</f>
        <v>12241.772346487587</v>
      </c>
      <c r="G30">
        <f>IF(ROW(B30)-2&lt;Simulatore!$B$15,0, 'Calcoli Perseo'!A31+'Calcoli Perseo'!B31)</f>
        <v>5803.9748644674746</v>
      </c>
      <c r="H30" s="14">
        <f>'Calcoli Perseo'!C31+'Calcoli Perseo'!D31</f>
        <v>140347.25136201229</v>
      </c>
      <c r="I30" s="15">
        <f>'Calcoli Perseo'!E31+'Calcoli Perseo'!F31</f>
        <v>131138.4324861647</v>
      </c>
      <c r="J30">
        <f>IF(ROW(B30)-2&lt;Simulatore!$B$15, 0, Simulatore!$B$18*B30+20+J29)</f>
        <v>12721.772346487587</v>
      </c>
      <c r="K30">
        <f xml:space="preserve"> IF(ROW(B30)-2&lt;Simulatore!$B$15,0, IF(B29&lt;15000,0.23,IF(B29&lt;28000,0.25,IF(B29&lt;50000,0.35,0.43)))*MIN(5164.57,0.02*B30)+K29)</f>
        <v>9630.1349873945364</v>
      </c>
      <c r="L30">
        <f t="shared" si="1"/>
        <v>-3091.6373590930507</v>
      </c>
    </row>
    <row r="31" spans="1:12" ht="15.75" customHeight="1" x14ac:dyDescent="0.15">
      <c r="A31" s="1">
        <v>30</v>
      </c>
      <c r="B31" s="39">
        <f xml:space="preserve">    IF(Simulatore!$B$22=3,      IF(ROW(B31)-2&lt;Simulatore!$B$14,'Calcoli Perseo'!G32,'Calcoli Perseo'!G32*(1+Simulatore!$B$17)^(ROW(B31)-2-Simulatore!$B$14)),    IF(Simulatore!$B$22=2,     IF(ROW(B31)-2&lt;Simulatore!$B$14,'Calcoli Perseo'!H32,'Calcoli Perseo'!H32*(1+Simulatore!$B$17)^(ROW(B31)-2-Simulatore!$B$14)),   IF(ROW(B31)-2&lt;Simulatore!$B$14,'Calcoli Perseo'!I32,'Calcoli Perseo'!I32*(1+Simulatore!$B$17)^(ROW(B31)-2-Simulatore!$B$14)) ))</f>
        <v>65791.409799238507</v>
      </c>
      <c r="C31" s="1">
        <f t="shared" si="0"/>
        <v>4546.1864171273801</v>
      </c>
      <c r="D31" s="30">
        <f xml:space="preserve"> IF(ROW(B31)-2&lt;Simulatore!$B$15,  0,  D30+0.83*D30*(Simulatore!$B$16*0.75+0.015)+C31)</f>
        <v>117592.71771623017</v>
      </c>
      <c r="E31" s="7">
        <f xml:space="preserve">  IF(ROW(B31)-2&lt;Simulatore!$B$15,0,       Simulatore!$B$18*B31+E30+0.75*Simulatore!$B$25*E30)</f>
        <v>18064.068020571089</v>
      </c>
      <c r="F31" s="31">
        <f xml:space="preserve"> IF(ROW(B31)-2&lt;Simulatore!$B$15,0,  Simulatore!$B$18*B31+F30)</f>
        <v>12899.686444479972</v>
      </c>
      <c r="G31">
        <f>IF(ROW(B31)-2&lt;Simulatore!$B$15,0, 'Calcoli Perseo'!A32+'Calcoli Perseo'!B32)</f>
        <v>5862.0146131121501</v>
      </c>
      <c r="H31" s="14">
        <f>'Calcoli Perseo'!C32+'Calcoli Perseo'!D32</f>
        <v>149535.49583240412</v>
      </c>
      <c r="I31" s="15">
        <f>'Calcoli Perseo'!E32+'Calcoli Perseo'!F32</f>
        <v>139295.36966778472</v>
      </c>
      <c r="J31">
        <f>IF(ROW(B31)-2&lt;Simulatore!$B$15, 0, Simulatore!$B$18*B31+20+J30)</f>
        <v>13399.686444479972</v>
      </c>
      <c r="K31">
        <f xml:space="preserve"> IF(ROW(B31)-2&lt;Simulatore!$B$15,0, IF(B30&lt;15000,0.23,IF(B30&lt;28000,0.25,IF(B30&lt;50000,0.35,0.43)))*MIN(5164.57,0.02*B31)+K30)</f>
        <v>10195.941111667988</v>
      </c>
      <c r="L31">
        <f t="shared" si="1"/>
        <v>-3203.7453328119846</v>
      </c>
    </row>
    <row r="32" spans="1:12" ht="15.75" customHeight="1" x14ac:dyDescent="0.15">
      <c r="A32" s="1">
        <v>31</v>
      </c>
      <c r="B32" s="39">
        <f xml:space="preserve">    IF(Simulatore!$B$22=3,      IF(ROW(B32)-2&lt;Simulatore!$B$14,'Calcoli Perseo'!G33,'Calcoli Perseo'!G33*(1+Simulatore!$B$17)^(ROW(B32)-2-Simulatore!$B$14)),    IF(Simulatore!$B$22=2,     IF(ROW(B32)-2&lt;Simulatore!$B$14,'Calcoli Perseo'!H33,'Calcoli Perseo'!H33*(1+Simulatore!$B$17)^(ROW(B32)-2-Simulatore!$B$14)),   IF(ROW(B32)-2&lt;Simulatore!$B$14,'Calcoli Perseo'!I33,'Calcoli Perseo'!I33*(1+Simulatore!$B$17)^(ROW(B32)-2-Simulatore!$B$14)) ))</f>
        <v>73213.887635001156</v>
      </c>
      <c r="C32" s="1">
        <f t="shared" si="0"/>
        <v>5059.0796355785797</v>
      </c>
      <c r="D32" s="30">
        <f xml:space="preserve"> IF(ROW(B32)-2&lt;Simulatore!$B$15,  0,  D31+0.83*D31*(Simulatore!$B$16*0.75+0.015)+C32)</f>
        <v>125579.85602294288</v>
      </c>
      <c r="E32" s="7">
        <f xml:space="preserve">  IF(ROW(B32)-2&lt;Simulatore!$B$15,0,       Simulatore!$B$18*B32+E31+0.75*Simulatore!$B$25*E31)</f>
        <v>19338.128937538233</v>
      </c>
      <c r="F32" s="31">
        <f xml:space="preserve"> IF(ROW(B32)-2&lt;Simulatore!$B$15,0,  Simulatore!$B$18*B32+F31)</f>
        <v>13631.825320829983</v>
      </c>
      <c r="G32">
        <f>IF(ROW(B32)-2&lt;Simulatore!$B$15,0, 'Calcoli Perseo'!A33+'Calcoli Perseo'!B33)</f>
        <v>6523.3573882786031</v>
      </c>
      <c r="H32" s="14">
        <f>'Calcoli Perseo'!C33+'Calcoli Perseo'!D33</f>
        <v>159602.84447191074</v>
      </c>
      <c r="I32" s="15">
        <f>'Calcoli Perseo'!E33+'Calcoli Perseo'!F33</f>
        <v>148256.39602524956</v>
      </c>
      <c r="J32">
        <f>IF(ROW(B32)-2&lt;Simulatore!$B$15, 0, Simulatore!$B$18*B32+20+J31)</f>
        <v>14151.825320829983</v>
      </c>
      <c r="K32">
        <f xml:space="preserve"> IF(ROW(B32)-2&lt;Simulatore!$B$15,0, IF(B31&lt;15000,0.23,IF(B31&lt;28000,0.25,IF(B31&lt;50000,0.35,0.43)))*MIN(5164.57,0.02*B32)+K31)</f>
        <v>10825.580545328998</v>
      </c>
      <c r="L32">
        <f t="shared" si="1"/>
        <v>-3326.2447755009853</v>
      </c>
    </row>
    <row r="33" spans="1:12" ht="15.75" customHeight="1" x14ac:dyDescent="0.15">
      <c r="A33" s="1">
        <v>32</v>
      </c>
      <c r="B33" s="39">
        <f xml:space="preserve">    IF(Simulatore!$B$22=3,      IF(ROW(B33)-2&lt;Simulatore!$B$14,'Calcoli Perseo'!G34,'Calcoli Perseo'!G34*(1+Simulatore!$B$17)^(ROW(B33)-2-Simulatore!$B$14)),    IF(Simulatore!$B$22=2,     IF(ROW(B33)-2&lt;Simulatore!$B$14,'Calcoli Perseo'!H34,'Calcoli Perseo'!H34*(1+Simulatore!$B$17)^(ROW(B33)-2-Simulatore!$B$14)),   IF(ROW(B33)-2&lt;Simulatore!$B$14,'Calcoli Perseo'!I34,'Calcoli Perseo'!I34*(1+Simulatore!$B$17)^(ROW(B33)-2-Simulatore!$B$14)) ))</f>
        <v>73946.02651135117</v>
      </c>
      <c r="C33" s="1">
        <f t="shared" si="0"/>
        <v>5109.6704319343653</v>
      </c>
      <c r="D33" s="30">
        <f xml:space="preserve"> IF(ROW(B33)-2&lt;Simulatore!$B$15,  0,  D32+0.83*D32*(Simulatore!$B$16*0.75+0.015)+C33)</f>
        <v>133816.46486984851</v>
      </c>
      <c r="E33" s="7">
        <f xml:space="preserve">  IF(ROW(B33)-2&lt;Simulatore!$B$15,0,       Simulatore!$B$18*B33+E32+0.75*Simulatore!$B$25*E32)</f>
        <v>20657.733070777889</v>
      </c>
      <c r="F33" s="31">
        <f xml:space="preserve"> IF(ROW(B33)-2&lt;Simulatore!$B$15,0,  Simulatore!$B$18*B33+F32)</f>
        <v>14371.285585943495</v>
      </c>
      <c r="G33">
        <f>IF(ROW(B33)-2&lt;Simulatore!$B$15,0, 'Calcoli Perseo'!A34+'Calcoli Perseo'!B34)</f>
        <v>6588.5909621613882</v>
      </c>
      <c r="H33" s="14">
        <f>'Calcoli Perseo'!C34+'Calcoli Perseo'!D34</f>
        <v>169974.0228480564</v>
      </c>
      <c r="I33" s="15">
        <f>'Calcoli Perseo'!E34+'Calcoli Perseo'!F34</f>
        <v>157439.4739178528</v>
      </c>
      <c r="J33">
        <f>IF(ROW(B33)-2&lt;Simulatore!$B$15, 0, Simulatore!$B$18*B33+20+J32)</f>
        <v>14911.285585943495</v>
      </c>
      <c r="K33">
        <f xml:space="preserve"> IF(ROW(B33)-2&lt;Simulatore!$B$15,0, IF(B32&lt;15000,0.23,IF(B32&lt;28000,0.25,IF(B32&lt;50000,0.35,0.43)))*MIN(5164.57,0.02*B33)+K32)</f>
        <v>11461.516373326618</v>
      </c>
      <c r="L33">
        <f t="shared" si="1"/>
        <v>-3449.7692126168768</v>
      </c>
    </row>
    <row r="34" spans="1:12" s="3" customFormat="1" ht="15.75" customHeight="1" x14ac:dyDescent="0.15">
      <c r="A34" s="1">
        <v>33</v>
      </c>
      <c r="B34" s="39">
        <f xml:space="preserve">    IF(Simulatore!$B$22=3,      IF(ROW(B34)-2&lt;Simulatore!$B$14,'Calcoli Perseo'!G35,'Calcoli Perseo'!G35*(1+Simulatore!$B$17)^(ROW(B34)-2-Simulatore!$B$14)),    IF(Simulatore!$B$22=2,     IF(ROW(B34)-2&lt;Simulatore!$B$14,'Calcoli Perseo'!H35,'Calcoli Perseo'!H35*(1+Simulatore!$B$17)^(ROW(B34)-2-Simulatore!$B$14)),   IF(ROW(B34)-2&lt;Simulatore!$B$14,'Calcoli Perseo'!I35,'Calcoli Perseo'!I35*(1+Simulatore!$B$17)^(ROW(B34)-2-Simulatore!$B$14)) ))</f>
        <v>74685.486776464662</v>
      </c>
      <c r="C34" s="1">
        <f t="shared" si="0"/>
        <v>5160.7671362537076</v>
      </c>
      <c r="D34" s="30">
        <f xml:space="preserve"> IF(ROW(B34)-2&lt;Simulatore!$B$15,  0,  D33+0.83*D33*(Simulatore!$B$16*0.75+0.015)+C34)</f>
        <v>142309.26198136146</v>
      </c>
      <c r="E34" s="7">
        <f xml:space="preserve">  IF(ROW(B34)-2&lt;Simulatore!$B$15,0,       Simulatore!$B$18*B34+E33+0.75*Simulatore!$B$25*E33)</f>
        <v>22024.319930665872</v>
      </c>
      <c r="F34" s="31">
        <f xml:space="preserve"> IF(ROW(B34)-2&lt;Simulatore!$B$15,0,  Simulatore!$B$18*B34+F33)</f>
        <v>15118.140453708142</v>
      </c>
      <c r="G34">
        <f>IF(ROW(B34)-2&lt;Simulatore!$B$15,0, 'Calcoli Perseo'!A35+'Calcoli Perseo'!B35)</f>
        <v>6654.4768717830011</v>
      </c>
      <c r="H34" s="14">
        <f>'Calcoli Perseo'!C35+'Calcoli Perseo'!D35</f>
        <v>180656.88406133838</v>
      </c>
      <c r="I34" s="15">
        <f>'Calcoli Perseo'!E35+'Calcoli Perseo'!F35</f>
        <v>166849.14158319822</v>
      </c>
      <c r="J34">
        <f>IF(ROW(B34)-2&lt;Simulatore!$B$15, 0, Simulatore!$B$18*B34+20+J33)</f>
        <v>15678.140453708142</v>
      </c>
      <c r="K34">
        <f xml:space="preserve"> IF(ROW(B34)-2&lt;Simulatore!$B$15,0, IF(B33&lt;15000,0.23,IF(B33&lt;28000,0.25,IF(B33&lt;50000,0.35,0.43)))*MIN(5164.57,0.02*B34)+K33)</f>
        <v>12103.811559604213</v>
      </c>
      <c r="L34">
        <f t="shared" si="1"/>
        <v>-3574.3288941039282</v>
      </c>
    </row>
    <row r="35" spans="1:12" s="3" customFormat="1" ht="15.75" customHeight="1" x14ac:dyDescent="0.15">
      <c r="A35" s="1">
        <v>34</v>
      </c>
      <c r="B35" s="39">
        <f xml:space="preserve">    IF(Simulatore!$B$22=3,      IF(ROW(B35)-2&lt;Simulatore!$B$14,'Calcoli Perseo'!G36,'Calcoli Perseo'!G36*(1+Simulatore!$B$17)^(ROW(B35)-2-Simulatore!$B$14)),    IF(Simulatore!$B$22=2,     IF(ROW(B35)-2&lt;Simulatore!$B$14,'Calcoli Perseo'!H36,'Calcoli Perseo'!H36*(1+Simulatore!$B$17)^(ROW(B35)-2-Simulatore!$B$14)),   IF(ROW(B35)-2&lt;Simulatore!$B$14,'Calcoli Perseo'!I36,'Calcoli Perseo'!I36*(1+Simulatore!$B$17)^(ROW(B35)-2-Simulatore!$B$14)) ))</f>
        <v>75432.341644229309</v>
      </c>
      <c r="C35" s="1">
        <f t="shared" si="0"/>
        <v>5212.3748076162447</v>
      </c>
      <c r="D35" s="30">
        <f xml:space="preserve"> IF(ROW(B35)-2&lt;Simulatore!$B$15,  0,  D34+0.83*D34*(Simulatore!$B$16*0.75+0.015)+C35)</f>
        <v>151065.1374123136</v>
      </c>
      <c r="E35" s="7">
        <f xml:space="preserve">  IF(ROW(B35)-2&lt;Simulatore!$B$15,0,       Simulatore!$B$18*B35+E34+0.75*Simulatore!$B$25*E34)</f>
        <v>23439.372945028143</v>
      </c>
      <c r="F35" s="31">
        <f xml:space="preserve"> IF(ROW(B35)-2&lt;Simulatore!$B$15,0,  Simulatore!$B$18*B35+F34)</f>
        <v>15872.463870150435</v>
      </c>
      <c r="G35">
        <f>IF(ROW(B35)-2&lt;Simulatore!$B$15,0, 'Calcoli Perseo'!A36+'Calcoli Perseo'!B36)</f>
        <v>6721.0216405008305</v>
      </c>
      <c r="H35" s="14">
        <f>'Calcoli Perseo'!C36+'Calcoli Perseo'!D36</f>
        <v>191659.47385409294</v>
      </c>
      <c r="I35" s="15">
        <f>'Calcoli Perseo'!E36+'Calcoli Perseo'!F36</f>
        <v>176490.02320140495</v>
      </c>
      <c r="J35">
        <f>IF(ROW(B35)-2&lt;Simulatore!$B$15, 0, Simulatore!$B$18*B35+20+J34)</f>
        <v>16452.463870150434</v>
      </c>
      <c r="K35">
        <f xml:space="preserve"> IF(ROW(B35)-2&lt;Simulatore!$B$15,0, IF(B34&lt;15000,0.23,IF(B34&lt;28000,0.25,IF(B34&lt;50000,0.35,0.43)))*MIN(5164.57,0.02*B35)+K34)</f>
        <v>12752.529697744585</v>
      </c>
      <c r="L35">
        <f t="shared" si="1"/>
        <v>-3699.9341724058486</v>
      </c>
    </row>
    <row r="36" spans="1:12" s="5" customFormat="1" ht="15.75" customHeight="1" x14ac:dyDescent="0.15">
      <c r="A36" s="2">
        <v>35</v>
      </c>
      <c r="B36" s="39">
        <f xml:space="preserve">    IF(Simulatore!$B$22=3,      IF(ROW(B36)-2&lt;Simulatore!$B$14,'Calcoli Perseo'!G37,'Calcoli Perseo'!G37*(1+Simulatore!$B$17)^(ROW(B36)-2-Simulatore!$B$14)),    IF(Simulatore!$B$22=2,     IF(ROW(B36)-2&lt;Simulatore!$B$14,'Calcoli Perseo'!H37,'Calcoli Perseo'!H37*(1+Simulatore!$B$17)^(ROW(B36)-2-Simulatore!$B$14)),   IF(ROW(B36)-2&lt;Simulatore!$B$14,'Calcoli Perseo'!I37,'Calcoli Perseo'!I37*(1+Simulatore!$B$17)^(ROW(B36)-2-Simulatore!$B$14)) ))</f>
        <v>76186.665060671614</v>
      </c>
      <c r="C36" s="2">
        <f t="shared" si="0"/>
        <v>5264.4985556924084</v>
      </c>
      <c r="D36" s="30">
        <f xml:space="preserve"> IF(ROW(B36)-2&lt;Simulatore!$B$15,  0,  D35+0.83*D35*(Simulatore!$B$16*0.75+0.015)+C36)</f>
        <v>160091.15788957261</v>
      </c>
      <c r="E36" s="7">
        <f xml:space="preserve">  IF(ROW(B36)-2&lt;Simulatore!$B$15,0,       Simulatore!$B$18*B36+E35+0.75*Simulatore!$B$25*E35)</f>
        <v>24904.420783985704</v>
      </c>
      <c r="F36" s="31">
        <f xml:space="preserve"> IF(ROW(B36)-2&lt;Simulatore!$B$15,0,  Simulatore!$B$18*B36+F35)</f>
        <v>16634.33052075715</v>
      </c>
      <c r="G36">
        <f>IF(ROW(B36)-2&lt;Simulatore!$B$15,0, 'Calcoli Perseo'!A37+'Calcoli Perseo'!B37)</f>
        <v>6788.2318569058407</v>
      </c>
      <c r="H36" s="14">
        <f>'Calcoli Perseo'!C37+'Calcoli Perseo'!D37</f>
        <v>202990.03524134078</v>
      </c>
      <c r="I36" s="15">
        <f>'Calcoli Perseo'!E37+'Calcoli Perseo'!F37</f>
        <v>186366.83046433539</v>
      </c>
      <c r="J36">
        <f>IF(ROW(B36)-2&lt;Simulatore!$B$15, 0, Simulatore!$B$18*B36+20+J35)</f>
        <v>17234.33052075715</v>
      </c>
      <c r="K36">
        <f xml:space="preserve"> IF(ROW(B36)-2&lt;Simulatore!$B$15,0, IF(B35&lt;15000,0.23,IF(B35&lt;28000,0.25,IF(B35&lt;50000,0.35,0.43)))*MIN(5164.57,0.02*B36)+K35)</f>
        <v>13407.735017266361</v>
      </c>
      <c r="L36">
        <f t="shared" si="1"/>
        <v>-3826.5955034907893</v>
      </c>
    </row>
    <row r="37" spans="1:12" ht="15.75" customHeight="1" x14ac:dyDescent="0.15">
      <c r="A37" s="1">
        <v>36</v>
      </c>
      <c r="B37" s="39">
        <f xml:space="preserve">    IF(Simulatore!$B$22=3,      IF(ROW(B37)-2&lt;Simulatore!$B$14,'Calcoli Perseo'!G38,'Calcoli Perseo'!G38*(1+Simulatore!$B$17)^(ROW(B37)-2-Simulatore!$B$14)),    IF(Simulatore!$B$22=2,     IF(ROW(B37)-2&lt;Simulatore!$B$14,'Calcoli Perseo'!H38,'Calcoli Perseo'!H38*(1+Simulatore!$B$17)^(ROW(B37)-2-Simulatore!$B$14)),   IF(ROW(B37)-2&lt;Simulatore!$B$14,'Calcoli Perseo'!I38,'Calcoli Perseo'!I38*(1+Simulatore!$B$17)^(ROW(B37)-2-Simulatore!$B$14)) ))</f>
        <v>76948.531711278338</v>
      </c>
      <c r="C37" s="1">
        <f t="shared" si="0"/>
        <v>5317.1435412493329</v>
      </c>
      <c r="D37" s="30">
        <f xml:space="preserve"> IF(ROW(B37)-2&lt;Simulatore!$B$15,  0,  D36+0.83*D36*(Simulatore!$B$16*0.75+0.015)+C37)</f>
        <v>169394.57126227231</v>
      </c>
      <c r="E37" s="7">
        <f xml:space="preserve">  IF(ROW(B37)-2&lt;Simulatore!$B$15,0,       Simulatore!$B$18*B37+E36+0.75*Simulatore!$B$25*E36)</f>
        <v>26421.038724618058</v>
      </c>
      <c r="F37" s="31">
        <f xml:space="preserve"> IF(ROW(B37)-2&lt;Simulatore!$B$15,0,  Simulatore!$B$18*B37+F36)</f>
        <v>17403.815837869934</v>
      </c>
      <c r="G37">
        <f>IF(ROW(B37)-2&lt;Simulatore!$B$15,0, 'Calcoli Perseo'!A38+'Calcoli Perseo'!B38)</f>
        <v>6856.1141754748996</v>
      </c>
      <c r="H37" s="16">
        <f>'Calcoli Perseo'!C38+'Calcoli Perseo'!D38</f>
        <v>214657.01325203548</v>
      </c>
      <c r="I37" s="17">
        <f>'Calcoli Perseo'!E38+'Calcoli Perseo'!F38</f>
        <v>196484.36417293613</v>
      </c>
      <c r="J37">
        <f>IF(ROW(B37)-2&lt;Simulatore!$B$15, 0, Simulatore!$B$18*B37+20+J36)</f>
        <v>18023.815837869934</v>
      </c>
      <c r="K37">
        <f xml:space="preserve"> IF(ROW(B37)-2&lt;Simulatore!$B$15,0, IF(B36&lt;15000,0.23,IF(B36&lt;28000,0.25,IF(B36&lt;50000,0.35,0.43)))*MIN(5164.57,0.02*B37)+K36)</f>
        <v>14069.492389983354</v>
      </c>
      <c r="L37">
        <f t="shared" si="1"/>
        <v>-3954.3234478865797</v>
      </c>
    </row>
    <row r="38" spans="1:12" ht="15.75" customHeight="1" x14ac:dyDescent="0.15">
      <c r="A38" s="1">
        <v>37</v>
      </c>
      <c r="B38" s="39">
        <f xml:space="preserve">    IF(Simulatore!$B$22=3,      IF(ROW(B38)-2&lt;Simulatore!$B$14,'Calcoli Perseo'!G39,'Calcoli Perseo'!G39*(1+Simulatore!$B$17)^(ROW(B38)-2-Simulatore!$B$14)),    IF(Simulatore!$B$22=2,     IF(ROW(B38)-2&lt;Simulatore!$B$14,'Calcoli Perseo'!H39,'Calcoli Perseo'!H39*(1+Simulatore!$B$17)^(ROW(B38)-2-Simulatore!$B$14)),   IF(ROW(B38)-2&lt;Simulatore!$B$14,'Calcoli Perseo'!I39,'Calcoli Perseo'!I39*(1+Simulatore!$B$17)^(ROW(B38)-2-Simulatore!$B$14)) ))</f>
        <v>77718.017028391099</v>
      </c>
      <c r="C38" s="1">
        <f t="shared" si="0"/>
        <v>5370.3149766618244</v>
      </c>
      <c r="D38" s="30">
        <f xml:space="preserve"> IF(ROW(B38)-2&lt;Simulatore!$B$15,  0,  D37+0.83*D37*(Simulatore!$B$16*0.75+0.015)+C38)</f>
        <v>178982.8110633647</v>
      </c>
      <c r="E38" s="7">
        <f xml:space="preserve">  IF(ROW(B38)-2&lt;Simulatore!$B$15,0,       Simulatore!$B$18*B38+E37+0.75*Simulatore!$B$25*E37)</f>
        <v>27990.850056640509</v>
      </c>
      <c r="F38" s="31">
        <f xml:space="preserve"> IF(ROW(B38)-2&lt;Simulatore!$B$15,0,  Simulatore!$B$18*B38+F37)</f>
        <v>18180.996008153845</v>
      </c>
      <c r="G38">
        <f>IF(ROW(B38)-2&lt;Simulatore!$B$15,0, 'Calcoli Perseo'!A39+'Calcoli Perseo'!B39)</f>
        <v>6924.6753172296467</v>
      </c>
      <c r="H38" s="16">
        <f>'Calcoli Perseo'!C39+'Calcoli Perseo'!D39</f>
        <v>226669.05978333837</v>
      </c>
      <c r="I38" s="17">
        <f>'Calcoli Perseo'!E39+'Calcoli Perseo'!F39</f>
        <v>206847.51586319212</v>
      </c>
      <c r="J38">
        <f>IF(ROW(B38)-2&lt;Simulatore!$B$15, 0, Simulatore!$B$18*B38+20+J37)</f>
        <v>18820.996008153845</v>
      </c>
      <c r="K38">
        <f xml:space="preserve"> IF(ROW(B38)-2&lt;Simulatore!$B$15,0, IF(B37&lt;15000,0.23,IF(B37&lt;28000,0.25,IF(B37&lt;50000,0.35,0.43)))*MIN(5164.57,0.02*B38)+K37)</f>
        <v>14737.867336427516</v>
      </c>
      <c r="L38">
        <f t="shared" ref="L38:L41" si="2">K38-J38</f>
        <v>-4083.1286717263283</v>
      </c>
    </row>
    <row r="39" spans="1:12" ht="15.75" customHeight="1" x14ac:dyDescent="0.15">
      <c r="A39" s="1">
        <v>38</v>
      </c>
      <c r="B39" s="39">
        <f xml:space="preserve">    IF(Simulatore!$B$22=3,      IF(ROW(B39)-2&lt;Simulatore!$B$14,'Calcoli Perseo'!G40,'Calcoli Perseo'!G40*(1+Simulatore!$B$17)^(ROW(B39)-2-Simulatore!$B$14)),    IF(Simulatore!$B$22=2,     IF(ROW(B39)-2&lt;Simulatore!$B$14,'Calcoli Perseo'!H40,'Calcoli Perseo'!H40*(1+Simulatore!$B$17)^(ROW(B39)-2-Simulatore!$B$14)),   IF(ROW(B39)-2&lt;Simulatore!$B$14,'Calcoli Perseo'!I40,'Calcoli Perseo'!I40*(1+Simulatore!$B$17)^(ROW(B39)-2-Simulatore!$B$14)) ))</f>
        <v>78495.197198675029</v>
      </c>
      <c r="C39" s="1">
        <f t="shared" si="0"/>
        <v>5424.0181264284438</v>
      </c>
      <c r="D39" s="30">
        <f xml:space="preserve"> IF(ROW(B39)-2&lt;Simulatore!$B$15,  0,  D38+0.83*D38*(Simulatore!$B$16*0.75+0.015)+C39)</f>
        <v>188863.50118527093</v>
      </c>
      <c r="E39" s="7">
        <f xml:space="preserve">  IF(ROW(B39)-2&lt;Simulatore!$B$15,0,       Simulatore!$B$18*B39+E38+0.75*Simulatore!$B$25*E38)</f>
        <v>29615.527530326475</v>
      </c>
      <c r="F39" s="31">
        <f xml:space="preserve"> IF(ROW(B39)-2&lt;Simulatore!$B$15,0,  Simulatore!$B$18*B39+F38)</f>
        <v>18965.947980140594</v>
      </c>
      <c r="G39">
        <f>IF(ROW(B39)-2&lt;Simulatore!$B$15,0, 'Calcoli Perseo'!A40+'Calcoli Perseo'!B40)</f>
        <v>6993.9220704019444</v>
      </c>
      <c r="H39" s="16">
        <f>'Calcoli Perseo'!C40+'Calcoli Perseo'!D40</f>
        <v>239035.03857060545</v>
      </c>
      <c r="I39" s="17">
        <f>'Calcoli Perseo'!E40+'Calcoli Perseo'!F40</f>
        <v>217461.2694611999</v>
      </c>
      <c r="J39">
        <f>IF(ROW(B39)-2&lt;Simulatore!$B$15, 0, Simulatore!$B$18*B39+20+J38)</f>
        <v>19625.947980140594</v>
      </c>
      <c r="K39">
        <f xml:space="preserve"> IF(ROW(B39)-2&lt;Simulatore!$B$15,0, IF(B38&lt;15000,0.23,IF(B38&lt;28000,0.25,IF(B38&lt;50000,0.35,0.43)))*MIN(5164.57,0.02*B39)+K38)</f>
        <v>15412.926032336121</v>
      </c>
      <c r="L39">
        <f t="shared" si="2"/>
        <v>-4213.0219478044728</v>
      </c>
    </row>
    <row r="40" spans="1:12" ht="15.75" customHeight="1" x14ac:dyDescent="0.15">
      <c r="A40" s="1">
        <v>39</v>
      </c>
      <c r="B40" s="39">
        <f xml:space="preserve">    IF(Simulatore!$B$22=3,      IF(ROW(B40)-2&lt;Simulatore!$B$14,'Calcoli Perseo'!G41,'Calcoli Perseo'!G41*(1+Simulatore!$B$17)^(ROW(B40)-2-Simulatore!$B$14)),    IF(Simulatore!$B$22=2,     IF(ROW(B40)-2&lt;Simulatore!$B$14,'Calcoli Perseo'!H41,'Calcoli Perseo'!H41*(1+Simulatore!$B$17)^(ROW(B40)-2-Simulatore!$B$14)),   IF(ROW(B40)-2&lt;Simulatore!$B$14,'Calcoli Perseo'!I41,'Calcoli Perseo'!I41*(1+Simulatore!$B$17)^(ROW(B40)-2-Simulatore!$B$14)) ))</f>
        <v>79280.149170661782</v>
      </c>
      <c r="C40" s="1">
        <f t="shared" si="0"/>
        <v>5478.2583076927285</v>
      </c>
      <c r="D40" s="30">
        <f xml:space="preserve"> IF(ROW(B40)-2&lt;Simulatore!$B$15,  0,  D39+0.83*D39*(Simulatore!$B$16*0.75+0.015)+C40)</f>
        <v>199044.46067247691</v>
      </c>
      <c r="E40" s="7">
        <f xml:space="preserve">  IF(ROW(B40)-2&lt;Simulatore!$B$15,0,       Simulatore!$B$18*B40+E39+0.75*Simulatore!$B$25*E39)</f>
        <v>31296.794847942889</v>
      </c>
      <c r="F40" s="31">
        <f xml:space="preserve"> IF(ROW(B40)-2&lt;Simulatore!$B$15,0,  Simulatore!$B$18*B40+F39)</f>
        <v>19758.749471847212</v>
      </c>
      <c r="G40">
        <f>IF(ROW(B40)-2&lt;Simulatore!$B$15,0, 'Calcoli Perseo'!A41+'Calcoli Perseo'!B41)</f>
        <v>7063.8612911059645</v>
      </c>
      <c r="H40" s="16">
        <f>'Calcoli Perseo'!C41+'Calcoli Perseo'!D41</f>
        <v>251764.03027583478</v>
      </c>
      <c r="I40" s="17">
        <f>'Calcoli Perseo'!E41+'Calcoli Perseo'!F41</f>
        <v>228330.70296787686</v>
      </c>
      <c r="J40">
        <f>IF(ROW(B40)-2&lt;Simulatore!$B$15, 0, Simulatore!$B$18*B40+20+J39)</f>
        <v>20438.749471847212</v>
      </c>
      <c r="K40">
        <f xml:space="preserve"> IF(ROW(B40)-2&lt;Simulatore!$B$15,0, IF(B39&lt;15000,0.23,IF(B39&lt;28000,0.25,IF(B39&lt;50000,0.35,0.43)))*MIN(5164.57,0.02*B40)+K39)</f>
        <v>16094.735315203812</v>
      </c>
      <c r="L40">
        <f t="shared" si="2"/>
        <v>-4344.0141566433995</v>
      </c>
    </row>
    <row r="41" spans="1:12" ht="15.75" customHeight="1" x14ac:dyDescent="0.15">
      <c r="A41" s="1">
        <v>40</v>
      </c>
      <c r="B41" s="39">
        <f xml:space="preserve">    IF(Simulatore!$B$22=3,      IF(ROW(B41)-2&lt;Simulatore!$B$14,'Calcoli Perseo'!G42,'Calcoli Perseo'!G42*(1+Simulatore!$B$17)^(ROW(B41)-2-Simulatore!$B$14)),    IF(Simulatore!$B$22=2,     IF(ROW(B41)-2&lt;Simulatore!$B$14,'Calcoli Perseo'!H42,'Calcoli Perseo'!H42*(1+Simulatore!$B$17)^(ROW(B41)-2-Simulatore!$B$14)),   IF(ROW(B41)-2&lt;Simulatore!$B$14,'Calcoli Perseo'!I42,'Calcoli Perseo'!I42*(1+Simulatore!$B$17)^(ROW(B41)-2-Simulatore!$B$14)) ))</f>
        <v>80072.950662368399</v>
      </c>
      <c r="C41" s="1">
        <f t="shared" si="0"/>
        <v>5533.0408907696556</v>
      </c>
      <c r="D41" s="30">
        <f xml:space="preserve"> IF(ROW(B41)-2&lt;Simulatore!$B$15,  0,  D40+0.83*D40*(Simulatore!$B$16*0.75+0.015)+C41)</f>
        <v>209533.70863399125</v>
      </c>
      <c r="E41" s="7">
        <f xml:space="preserve">  IF(ROW(B41)-2&lt;Simulatore!$B$15,0,       Simulatore!$B$18*B41+E40+0.75*Simulatore!$B$25*E40)</f>
        <v>33036.428200004862</v>
      </c>
      <c r="F41" s="31">
        <f xml:space="preserve"> IF(ROW(B41)-2&lt;Simulatore!$B$15,0,  Simulatore!$B$18*B41+F40)</f>
        <v>20559.478978470896</v>
      </c>
      <c r="G41">
        <f>IF(ROW(B41)-2&lt;Simulatore!$B$15,0, 'Calcoli Perseo'!A42+'Calcoli Perseo'!B42)</f>
        <v>7134.4999040170233</v>
      </c>
      <c r="H41" s="16">
        <f>'Calcoli Perseo'!C42+'Calcoli Perseo'!D42</f>
        <v>264865.33769738913</v>
      </c>
      <c r="I41" s="17">
        <f>'Calcoli Perseo'!E42+'Calcoli Perseo'!F42</f>
        <v>239460.9901738317</v>
      </c>
      <c r="J41">
        <f>IF(ROW(B41)-2&lt;Simulatore!$B$15, 0, Simulatore!$B$18*B41+20+J40)</f>
        <v>21259.478978470896</v>
      </c>
      <c r="K41">
        <f xml:space="preserve"> IF(ROW(B41)-2&lt;Simulatore!$B$15,0, IF(B40&lt;15000,0.23,IF(B40&lt;28000,0.25,IF(B40&lt;50000,0.35,0.43)))*MIN(5164.57,0.02*B41)+K40)</f>
        <v>16783.36269090018</v>
      </c>
      <c r="L41">
        <f t="shared" si="2"/>
        <v>-4476.1162875707159</v>
      </c>
    </row>
    <row r="44" spans="1:12" ht="15.75" customHeight="1" x14ac:dyDescent="0.15">
      <c r="K44" s="3"/>
    </row>
    <row r="48" spans="1:12" ht="15.75" customHeight="1" thickBot="1" x14ac:dyDescent="0.2">
      <c r="B48" s="1" t="s">
        <v>19</v>
      </c>
      <c r="D48" s="5"/>
      <c r="F48" s="3" t="s">
        <v>23</v>
      </c>
      <c r="L48" s="3"/>
    </row>
    <row r="49" spans="2:8" ht="15.75" customHeight="1" thickBot="1" x14ac:dyDescent="0.2">
      <c r="B49" s="18" t="s">
        <v>26</v>
      </c>
      <c r="C49" s="19" cm="1">
        <f t="array" aca="1" ref="C49" ca="1">INDIRECT(ADDRESS(1+Simulatore!B19,4,,,"Calcolo Versamenti"))</f>
        <v>199044.46067247691</v>
      </c>
      <c r="F49" s="18" t="s">
        <v>27</v>
      </c>
      <c r="G49" s="20" cm="1">
        <f t="array" aca="1" ref="G49" ca="1">INDIRECT(ADDRESS(1+Simulatore!B19,8,,,"Calcolo Versamenti"))</f>
        <v>251764.03027583478</v>
      </c>
      <c r="H49" s="19" cm="1">
        <f t="array" aca="1" ref="H49" ca="1">INDIRECT(ADDRESS(1+Simulatore!B19,9,,,"Calcolo Versamenti"))</f>
        <v>228330.70296787686</v>
      </c>
    </row>
    <row r="50" spans="2:8" ht="15.75" customHeight="1" x14ac:dyDescent="0.15">
      <c r="B50" s="1" t="s">
        <v>2</v>
      </c>
      <c r="C50" s="1">
        <f ca="1">C49*12/Simulatore!B19</f>
        <v>61244.449437685202</v>
      </c>
      <c r="F50" s="3" t="s">
        <v>21</v>
      </c>
      <c r="G50">
        <f ca="1">G49*'Calcoli Perseo'!L14/1000/2</f>
        <v>6305.3810442723779</v>
      </c>
      <c r="H50">
        <f ca="1">H49*'Calcoli Perseo'!L14/1000/2</f>
        <v>5718.4979313433969</v>
      </c>
    </row>
    <row r="51" spans="2:8" ht="15.75" customHeight="1" x14ac:dyDescent="0.15">
      <c r="B51" s="1" t="s">
        <v>158</v>
      </c>
      <c r="C51" s="1">
        <f>28000*0.23</f>
        <v>6440</v>
      </c>
      <c r="F51" s="3" t="s">
        <v>22</v>
      </c>
      <c r="G51">
        <f ca="1">'Calcoli Perseo'!L9*G50</f>
        <v>5737.8967502878641</v>
      </c>
      <c r="H51">
        <f ca="1">'Calcoli Perseo'!L9*H50</f>
        <v>5203.8331175224912</v>
      </c>
    </row>
    <row r="52" spans="2:8" ht="15.75" customHeight="1" x14ac:dyDescent="0.15">
      <c r="B52" s="1" t="s">
        <v>160</v>
      </c>
      <c r="C52" s="1">
        <f ca="1">MAX(0.35*(C50-28000),0)</f>
        <v>11635.55730318982</v>
      </c>
      <c r="F52" s="4" t="s">
        <v>24</v>
      </c>
      <c r="G52" s="4">
        <f ca="1">G51/12</f>
        <v>478.15806252398869</v>
      </c>
      <c r="H52" s="4">
        <f ca="1">H51/12</f>
        <v>433.65275979354095</v>
      </c>
    </row>
    <row r="53" spans="2:8" ht="15.75" customHeight="1" x14ac:dyDescent="0.15">
      <c r="B53" s="1" t="s">
        <v>159</v>
      </c>
      <c r="C53" s="1">
        <f ca="1">MAX((C50-50000)*0.43,0)</f>
        <v>4835.1132582046366</v>
      </c>
      <c r="F53" s="4" t="s">
        <v>25</v>
      </c>
      <c r="G53" s="4">
        <f ca="1">G49/2*'Calcoli Perseo'!L9</f>
        <v>114552.63377550483</v>
      </c>
      <c r="H53" s="4">
        <f ca="1">H49/2*'Calcoli Perseo'!L9</f>
        <v>103890.46985038398</v>
      </c>
    </row>
    <row r="54" spans="2:8" ht="15.75" customHeight="1" x14ac:dyDescent="0.15">
      <c r="B54" s="7" t="s">
        <v>20</v>
      </c>
      <c r="C54" s="7">
        <f ca="1">C49-C51-C52-C53</f>
        <v>176133.79011108246</v>
      </c>
      <c r="F54" s="3" t="s">
        <v>29</v>
      </c>
      <c r="G54" s="22" cm="1">
        <f t="array" aca="1" ref="G54" ca="1">($C$54-INDIRECT(ADDRESS(1+Simulatore!B19,12,,,"Calcolo Versamenti"))-G53)/G51</f>
        <v>11.489431295345916</v>
      </c>
      <c r="H54" s="22" cm="1">
        <f t="array" aca="1" ref="H54" ca="1">($C$54-INDIRECT(ADDRESS(1+Simulatore!B19,12,,,"Calcolo Versamenti"))-H53)/H51</f>
        <v>14.717484724760846</v>
      </c>
    </row>
    <row r="56" spans="2:8" ht="15.75" customHeight="1" x14ac:dyDescent="0.15">
      <c r="F56" s="3" t="s">
        <v>28</v>
      </c>
    </row>
    <row r="57" spans="2:8" ht="15.75" customHeight="1" x14ac:dyDescent="0.15">
      <c r="B57" s="1"/>
      <c r="C57" s="1"/>
      <c r="F57" s="3" t="s">
        <v>21</v>
      </c>
      <c r="G57">
        <f ca="1">G49*'Calcoli Perseo'!L14/1000</f>
        <v>12610.762088544756</v>
      </c>
      <c r="H57">
        <f ca="1">H49*'Calcoli Perseo'!L14/1000</f>
        <v>11436.995862686794</v>
      </c>
    </row>
    <row r="58" spans="2:8" ht="15.75" customHeight="1" x14ac:dyDescent="0.15">
      <c r="B58" s="1"/>
      <c r="C58" s="1"/>
      <c r="F58" s="3" t="s">
        <v>22</v>
      </c>
      <c r="G58">
        <f ca="1">'Calcoli Perseo'!L9*G57</f>
        <v>11475.793500575728</v>
      </c>
      <c r="H58">
        <f ca="1">'Calcoli Perseo'!L9*H57</f>
        <v>10407.666235044982</v>
      </c>
    </row>
    <row r="59" spans="2:8" ht="15.75" customHeight="1" x14ac:dyDescent="0.15">
      <c r="B59" s="1"/>
      <c r="C59" s="1"/>
      <c r="F59" s="4" t="s">
        <v>24</v>
      </c>
      <c r="G59" s="4">
        <f ca="1">G58/12</f>
        <v>956.31612504797738</v>
      </c>
      <c r="H59" s="4">
        <f ca="1">H58/12</f>
        <v>867.3055195870819</v>
      </c>
    </row>
    <row r="60" spans="2:8" ht="15.75" customHeight="1" x14ac:dyDescent="0.15">
      <c r="B60" s="3"/>
      <c r="F60" s="3" t="s">
        <v>29</v>
      </c>
      <c r="G60" s="22" cm="1">
        <f t="array" aca="1" ref="G60" ca="1">($C$54+INDIRECT(ADDRESS(1+Simulatore!B19,12,,,"Calcolo Versamenti")))/G58</f>
        <v>14.96975141159699</v>
      </c>
      <c r="H60" s="22" cm="1">
        <f t="array" aca="1" ref="H60" ca="1">($C$54-INDIRECT(ADDRESS(1+Simulatore!B19,12,,,"Calcolo Versamenti")))/H58</f>
        <v>17.340852424726688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AEE35-5FCE-EA48-9DD3-9998ED7729B6}">
  <dimension ref="A1:R49"/>
  <sheetViews>
    <sheetView topLeftCell="C1" workbookViewId="0">
      <selection activeCell="L16" sqref="L16"/>
    </sheetView>
  </sheetViews>
  <sheetFormatPr baseColWidth="10" defaultColWidth="11.5" defaultRowHeight="13" x14ac:dyDescent="0.15"/>
  <cols>
    <col min="1" max="1" width="12.83203125" bestFit="1" customWidth="1"/>
    <col min="2" max="2" width="19.6640625" bestFit="1" customWidth="1"/>
    <col min="3" max="3" width="15.83203125" bestFit="1" customWidth="1"/>
    <col min="4" max="4" width="16.6640625" bestFit="1" customWidth="1"/>
    <col min="6" max="6" width="16.6640625" bestFit="1" customWidth="1"/>
    <col min="7" max="7" width="27" bestFit="1" customWidth="1"/>
    <col min="8" max="8" width="26.33203125" bestFit="1" customWidth="1"/>
    <col min="9" max="9" width="25.83203125" bestFit="1" customWidth="1"/>
    <col min="11" max="11" width="16.5" bestFit="1" customWidth="1"/>
  </cols>
  <sheetData>
    <row r="1" spans="1:18" x14ac:dyDescent="0.15">
      <c r="C1" s="3" t="s">
        <v>39</v>
      </c>
      <c r="D1" s="3" t="s">
        <v>39</v>
      </c>
      <c r="E1" s="3" t="s">
        <v>40</v>
      </c>
      <c r="F1" s="3" t="s">
        <v>40</v>
      </c>
    </row>
    <row r="2" spans="1:18" x14ac:dyDescent="0.15">
      <c r="A2" s="1" t="s">
        <v>33</v>
      </c>
      <c r="B2" s="1" t="s">
        <v>32</v>
      </c>
      <c r="C2" s="1" t="s">
        <v>37</v>
      </c>
      <c r="D2" s="1" t="s">
        <v>38</v>
      </c>
      <c r="E2" s="1" t="s">
        <v>37</v>
      </c>
      <c r="F2" s="1" t="s">
        <v>38</v>
      </c>
      <c r="G2" s="1" t="s">
        <v>142</v>
      </c>
      <c r="H2" s="1" t="s">
        <v>144</v>
      </c>
      <c r="I2" s="1" t="s">
        <v>143</v>
      </c>
    </row>
    <row r="3" spans="1:18" x14ac:dyDescent="0.15">
      <c r="A3">
        <f>(0.01+Simulatore!$B$18)*'Calcolo Versamenti'!B2</f>
        <v>683.35735</v>
      </c>
      <c r="B3">
        <f>'Calcolo Versamenti'!C2</f>
        <v>2360.9996442499996</v>
      </c>
      <c r="C3">
        <f>IF(ROW(B2)-2&lt;Simulatore!$B$15, 0, A3-0.0023*A3)</f>
        <v>0</v>
      </c>
      <c r="D3">
        <f>IF(ROW(B2)-2&lt;Simulatore!$B$15, 0, B3-0.0023*B3)</f>
        <v>0</v>
      </c>
      <c r="E3">
        <f>IF(ROW(B2)-2&lt;Simulatore!$B$15, 0, A3-0.0035*A3)</f>
        <v>0</v>
      </c>
      <c r="F3">
        <f>IF(ROW(B2)-2&lt;Simulatore!$B$15, 0, B3-0.0035*B3)</f>
        <v>0</v>
      </c>
      <c r="G3" s="32">
        <f>31539.57*13/12</f>
        <v>34167.8675</v>
      </c>
      <c r="H3">
        <f>39943*13/12</f>
        <v>43271.583333333336</v>
      </c>
      <c r="I3">
        <f>51523.85*13/12</f>
        <v>55817.504166666658</v>
      </c>
      <c r="K3" s="3" t="s">
        <v>8</v>
      </c>
      <c r="L3">
        <f>0.95*Simulatore!B26+0.05*Simulatore!B25</f>
        <v>2.0999999999999998E-2</v>
      </c>
    </row>
    <row r="4" spans="1:18" x14ac:dyDescent="0.15">
      <c r="A4">
        <f>(0.01+Simulatore!$B$18)*'Calcolo Versamenti'!B3</f>
        <v>683.35735</v>
      </c>
      <c r="B4">
        <f>'Calcolo Versamenti'!C3</f>
        <v>2360.9996442499996</v>
      </c>
      <c r="C4">
        <f>IF(ROW(B3)-2&lt;Simulatore!$B$15, 0,A4+(1+Simulatore!B$28-0.0023)*C3)</f>
        <v>0</v>
      </c>
      <c r="D4">
        <f>IF(ROW(B3)-2&lt;Simulatore!$B$15, 0, B4+(1+'Calcoli Perseo'!$L$4-0.0023)*D3)</f>
        <v>0</v>
      </c>
      <c r="E4">
        <f>IF(ROW(B3)-2&lt;Simulatore!$B$15, 0, A4+(1+Simulatore!B$27-0.0035)*E3)</f>
        <v>0</v>
      </c>
      <c r="F4">
        <f>IF(ROW(B3)-2&lt;Simulatore!$B$15,  0, B4+(1+'Calcoli Perseo'!$L$3-0.0035)*F3)</f>
        <v>0</v>
      </c>
      <c r="G4" s="32">
        <f t="shared" ref="G4:G5" si="0">31539.57*13/12</f>
        <v>34167.8675</v>
      </c>
      <c r="H4">
        <f t="shared" ref="H4:H5" si="1">39943*13/12</f>
        <v>43271.583333333336</v>
      </c>
      <c r="I4">
        <f t="shared" ref="I4:I5" si="2">51523.85*13/12</f>
        <v>55817.504166666658</v>
      </c>
      <c r="K4" s="3" t="s">
        <v>9</v>
      </c>
      <c r="L4">
        <f>0.7*Simulatore!B26+0.3*Simulatore!B25</f>
        <v>2.5999999999999999E-2</v>
      </c>
    </row>
    <row r="5" spans="1:18" x14ac:dyDescent="0.15">
      <c r="A5">
        <f>(0.01+Simulatore!$B$18)*'Calcolo Versamenti'!B4</f>
        <v>683.35735</v>
      </c>
      <c r="B5">
        <f>'Calcolo Versamenti'!C4</f>
        <v>2360.9996442499996</v>
      </c>
      <c r="C5">
        <f>IF(ROW(B4)-2&lt;Simulatore!$B$15, 0,A5+(1+Simulatore!B$28-0.0023)*C4)</f>
        <v>0</v>
      </c>
      <c r="D5">
        <f>IF(ROW(B4)-2&lt;Simulatore!$B$15, 0, B5+(1+'Calcoli Perseo'!$L$4-0.0023)*D4)</f>
        <v>0</v>
      </c>
      <c r="E5">
        <f>IF(ROW(B4)-2&lt;Simulatore!$B$15, 0, A5+(1+Simulatore!B$27-0.0035)*E4)</f>
        <v>0</v>
      </c>
      <c r="F5">
        <f>IF(ROW(B4)-2&lt;Simulatore!$B$15,  0, B5+(1+'Calcoli Perseo'!$L$3-0.0035)*F4)</f>
        <v>0</v>
      </c>
      <c r="G5" s="32">
        <f t="shared" si="0"/>
        <v>34167.8675</v>
      </c>
      <c r="H5">
        <f t="shared" si="1"/>
        <v>43271.583333333336</v>
      </c>
      <c r="I5">
        <f t="shared" si="2"/>
        <v>55817.504166666658</v>
      </c>
    </row>
    <row r="6" spans="1:18" x14ac:dyDescent="0.15">
      <c r="A6">
        <f>(0.01+Simulatore!$B$18)*'Calcolo Versamenti'!B5</f>
        <v>737.4765666666666</v>
      </c>
      <c r="B6">
        <f>'Calcolo Versamenti'!C5</f>
        <v>2547.9815378333328</v>
      </c>
      <c r="C6">
        <f>IF(ROW(B5)-2&lt;Simulatore!$B$15, 0,A6+(1+Simulatore!B$28-0.0023)*C5)</f>
        <v>0</v>
      </c>
      <c r="D6">
        <f>IF(ROW(B5)-2&lt;Simulatore!$B$15, 0, B6+(1+'Calcoli Perseo'!$L$4-0.0023)*D5)</f>
        <v>0</v>
      </c>
      <c r="E6">
        <f>IF(ROW(B5)-2&lt;Simulatore!$B$15, 0, A6+(1+Simulatore!B$27-0.0035)*E5)</f>
        <v>0</v>
      </c>
      <c r="F6">
        <f>IF(ROW(B5)-2&lt;Simulatore!$B$15,  0, B6+(1+'Calcoli Perseo'!$L$3-0.0035)*F5)</f>
        <v>0</v>
      </c>
      <c r="G6" s="3">
        <f>34037.38*13/12</f>
        <v>36873.828333333331</v>
      </c>
      <c r="H6">
        <f t="shared" ref="H6:H10" si="3">43632.19*13/12</f>
        <v>47268.205833333333</v>
      </c>
      <c r="I6">
        <f>56699.02*13/12</f>
        <v>61423.938333333332</v>
      </c>
    </row>
    <row r="7" spans="1:18" x14ac:dyDescent="0.15">
      <c r="A7">
        <f>(0.01+Simulatore!$B$18)*'Calcolo Versamenti'!B6</f>
        <v>737.4765666666666</v>
      </c>
      <c r="B7">
        <f>'Calcolo Versamenti'!C6</f>
        <v>2547.9815378333328</v>
      </c>
      <c r="C7">
        <f>IF(ROW(B6)-2&lt;Simulatore!$B$15, 0,A7+(1+Simulatore!B$28-0.0023)*C6)</f>
        <v>0</v>
      </c>
      <c r="D7">
        <f>IF(ROW(B6)-2&lt;Simulatore!$B$15, 0, B7+(1+'Calcoli Perseo'!$L$4-0.0023)*D6)</f>
        <v>0</v>
      </c>
      <c r="E7">
        <f>IF(ROW(B6)-2&lt;Simulatore!$B$15, 0, A7+(1+Simulatore!B$27-0.0035)*E6)</f>
        <v>0</v>
      </c>
      <c r="F7">
        <f>IF(ROW(B6)-2&lt;Simulatore!$B$15,  0, B7+(1+'Calcoli Perseo'!$L$3-0.0035)*F6)</f>
        <v>0</v>
      </c>
      <c r="G7" s="3">
        <f t="shared" ref="G7:G10" si="4">34037.38*13/12</f>
        <v>36873.828333333331</v>
      </c>
      <c r="H7">
        <f t="shared" si="3"/>
        <v>47268.205833333333</v>
      </c>
      <c r="I7">
        <f t="shared" ref="I7:I10" si="5">56699.02*13/12</f>
        <v>61423.938333333332</v>
      </c>
      <c r="K7" s="3" t="s">
        <v>148</v>
      </c>
      <c r="L7" s="3">
        <f>Simulatore!B19-Simulatore!B15</f>
        <v>34</v>
      </c>
    </row>
    <row r="8" spans="1:18" x14ac:dyDescent="0.15">
      <c r="A8">
        <f>(0.01+Simulatore!$B$18)*'Calcolo Versamenti'!B7</f>
        <v>737.4765666666666</v>
      </c>
      <c r="B8">
        <f>'Calcolo Versamenti'!C7</f>
        <v>2547.9815378333328</v>
      </c>
      <c r="C8">
        <f>IF(ROW(B7)-2&lt;Simulatore!$B$15, 0,A8+(1+Simulatore!B$28-0.0023)*C7)</f>
        <v>737.4765666666666</v>
      </c>
      <c r="D8">
        <f>IF(ROW(B7)-2&lt;Simulatore!$B$15, 0, B8+(1+'Calcoli Perseo'!$L$4-0.0023)*D7)</f>
        <v>2547.9815378333328</v>
      </c>
      <c r="E8">
        <f>IF(ROW(B7)-2&lt;Simulatore!$B$15, 0, A8+(1+Simulatore!B$27-0.0035)*E7)</f>
        <v>737.4765666666666</v>
      </c>
      <c r="F8">
        <f>IF(ROW(B7)-2&lt;Simulatore!$B$15,  0, B8+(1+'Calcoli Perseo'!$L$3-0.0035)*F7)</f>
        <v>2547.9815378333328</v>
      </c>
      <c r="G8" s="3">
        <f t="shared" si="4"/>
        <v>36873.828333333331</v>
      </c>
      <c r="H8">
        <f t="shared" si="3"/>
        <v>47268.205833333333</v>
      </c>
      <c r="I8">
        <f t="shared" si="5"/>
        <v>61423.938333333332</v>
      </c>
    </row>
    <row r="9" spans="1:18" x14ac:dyDescent="0.15">
      <c r="A9">
        <f>(0.01+Simulatore!$B$18)*'Calcolo Versamenti'!B8</f>
        <v>744.85133233333329</v>
      </c>
      <c r="B9">
        <f>'Calcolo Versamenti'!C8</f>
        <v>2573.4613532116664</v>
      </c>
      <c r="C9">
        <f>IF(ROW(B8)-2&lt;Simulatore!$B$15, 0,A9+(1+Simulatore!B$28-0.0023)*C8)</f>
        <v>1499.8060936299999</v>
      </c>
      <c r="D9">
        <f>IF(ROW(B8)-2&lt;Simulatore!$B$15, 0, B9+(1+'Calcoli Perseo'!$L$4-0.0023)*D8)</f>
        <v>5181.8300534916489</v>
      </c>
      <c r="E9">
        <f>IF(ROW(B8)-2&lt;Simulatore!$B$15, 0, A9+(1+Simulatore!B$27-0.0035)*E8)</f>
        <v>1495.2337389166664</v>
      </c>
      <c r="F9">
        <f>IF(ROW(B8)-2&lt;Simulatore!$B$15,  0, B9+(1+'Calcoli Perseo'!$L$3-0.0035)*F8)</f>
        <v>5166.0325679570815</v>
      </c>
      <c r="G9" s="3">
        <f t="shared" si="4"/>
        <v>36873.828333333331</v>
      </c>
      <c r="H9">
        <f t="shared" si="3"/>
        <v>47268.205833333333</v>
      </c>
      <c r="I9">
        <f t="shared" si="5"/>
        <v>61423.938333333332</v>
      </c>
      <c r="K9" s="3" t="s">
        <v>79</v>
      </c>
      <c r="L9">
        <f>1-MAX(0.15-0.05*(Simulatore!B19-Simulatore!B15),0.09)</f>
        <v>0.91</v>
      </c>
    </row>
    <row r="10" spans="1:18" x14ac:dyDescent="0.15">
      <c r="A10">
        <f>(0.01+Simulatore!$B$18)*'Calcolo Versamenti'!B9</f>
        <v>752.29984565666655</v>
      </c>
      <c r="B10">
        <f>'Calcolo Versamenti'!C9</f>
        <v>2599.1959667437827</v>
      </c>
      <c r="C10">
        <f>IF(ROW(B9)-2&lt;Simulatore!$B$15, 0,A10+(1+Simulatore!B$28-0.0023)*C9)</f>
        <v>2287.6513437056974</v>
      </c>
      <c r="D10">
        <f>IF(ROW(B9)-2&lt;Simulatore!$B$15, 0, B10+(1+'Calcoli Perseo'!$L$4-0.0023)*D9)</f>
        <v>7903.8353925031843</v>
      </c>
      <c r="E10">
        <f>IF(ROW(B9)-2&lt;Simulatore!$B$15, 0, A10+(1+Simulatore!B$27-0.0035)*E9)</f>
        <v>2273.7001750043746</v>
      </c>
      <c r="F10">
        <f>IF(ROW(B9)-2&lt;Simulatore!$B$15,  0, B10+(1+'Calcoli Perseo'!$L$3-0.0035)*F9)</f>
        <v>7855.6341046401121</v>
      </c>
      <c r="G10" s="3">
        <f t="shared" si="4"/>
        <v>36873.828333333331</v>
      </c>
      <c r="H10">
        <f t="shared" si="3"/>
        <v>47268.205833333333</v>
      </c>
      <c r="I10">
        <f t="shared" si="5"/>
        <v>61423.938333333332</v>
      </c>
    </row>
    <row r="11" spans="1:18" x14ac:dyDescent="0.15">
      <c r="A11">
        <f>(0.01+Simulatore!$B$18)*'Calcolo Versamenti'!B10</f>
        <v>817.53609907081659</v>
      </c>
      <c r="B11">
        <f>'Calcolo Versamenti'!C10</f>
        <v>2824.587222289671</v>
      </c>
      <c r="C11">
        <f>IF(ROW(B10)-2&lt;Simulatore!$B$15, 0,A11+(1+Simulatore!B$28-0.0023)*C10)</f>
        <v>3159.4047796223394</v>
      </c>
      <c r="D11">
        <f>IF(ROW(B10)-2&lt;Simulatore!$B$15, 0, B11+(1+'Calcoli Perseo'!$L$4-0.0023)*D10)</f>
        <v>10915.743513595182</v>
      </c>
      <c r="E11">
        <f>IF(ROW(B10)-2&lt;Simulatore!$B$15, 0, A11+(1+Simulatore!B$27-0.0035)*E10)</f>
        <v>3131.0260271377674</v>
      </c>
      <c r="F11">
        <f>IF(ROW(B10)-2&lt;Simulatore!$B$15,  0, B11+(1+'Calcoli Perseo'!$L$3-0.0035)*F10)</f>
        <v>10817.694923760984</v>
      </c>
      <c r="G11" s="3">
        <f>36622.73*13/12</f>
        <v>39674.624166666668</v>
      </c>
      <c r="H11">
        <f>47460.14*13/12</f>
        <v>51415.151666666665</v>
      </c>
      <c r="I11">
        <f>62106.5*13/12</f>
        <v>67282.041666666672</v>
      </c>
    </row>
    <row r="12" spans="1:18" x14ac:dyDescent="0.15">
      <c r="A12">
        <f>(0.01+Simulatore!$B$18)*'Calcolo Versamenti'!B11</f>
        <v>825.71146006152492</v>
      </c>
      <c r="B12">
        <f>'Calcolo Versamenti'!C11</f>
        <v>2852.8330945125681</v>
      </c>
      <c r="C12">
        <f>IF(ROW(B11)-2&lt;Simulatore!$B$15, 0,A12+(1+Simulatore!B$28-0.0023)*C11)</f>
        <v>4059.9941329609142</v>
      </c>
      <c r="D12">
        <f>IF(ROW(B11)-2&lt;Simulatore!$B$15, 0, B12+(1+'Calcoli Perseo'!$L$4-0.0023)*D11)</f>
        <v>14027.279729379956</v>
      </c>
      <c r="E12">
        <f>IF(ROW(B11)-2&lt;Simulatore!$B$15, 0, A12+(1+Simulatore!B$27-0.0035)*E11)</f>
        <v>4011.5304426742027</v>
      </c>
      <c r="F12">
        <f>IF(ROW(B11)-2&lt;Simulatore!$B$15,  0, B12+(1+'Calcoli Perseo'!$L$3-0.0035)*F11)</f>
        <v>13859.837679439366</v>
      </c>
      <c r="G12" s="3">
        <f t="shared" ref="G12:G15" si="6">36622.73*13/12</f>
        <v>39674.624166666668</v>
      </c>
      <c r="H12">
        <f t="shared" ref="H12:H15" si="7">47460.14*13/12</f>
        <v>51415.151666666665</v>
      </c>
      <c r="I12">
        <f t="shared" ref="I12:I15" si="8">62106.5*13/12</f>
        <v>67282.041666666672</v>
      </c>
      <c r="K12" s="3" t="s">
        <v>132</v>
      </c>
      <c r="L12" cm="1">
        <f t="array" aca="1" ref="L12" ca="1">INDIRECT(ADDRESS(Simulatore!B20-1950+19,IF(Simulatore!B21="M",2,4),,,"Eta' assicurativa"))</f>
        <v>-2</v>
      </c>
      <c r="P12">
        <v>32919.8675</v>
      </c>
      <c r="Q12">
        <v>41698.767499999994</v>
      </c>
      <c r="R12">
        <v>53776.504166666658</v>
      </c>
    </row>
    <row r="13" spans="1:18" x14ac:dyDescent="0.15">
      <c r="A13">
        <f>(0.01+Simulatore!$B$18)*'Calcolo Versamenti'!B12</f>
        <v>833.96857466213999</v>
      </c>
      <c r="B13">
        <f>'Calcolo Versamenti'!C12</f>
        <v>2881.3614254576937</v>
      </c>
      <c r="C13">
        <f>IF(ROW(B12)-2&lt;Simulatore!$B$15, 0,A13+(1+Simulatore!B$28-0.0023)*C12)</f>
        <v>4990.1845685742283</v>
      </c>
      <c r="D13">
        <f>IF(ROW(B12)-2&lt;Simulatore!$B$15, 0, B13+(1+'Calcoli Perseo'!$L$4-0.0023)*D12)</f>
        <v>17241.087684423957</v>
      </c>
      <c r="E13">
        <f>IF(ROW(B12)-2&lt;Simulatore!$B$15, 0, A13+(1+Simulatore!B$27-0.0035)*E12)</f>
        <v>4915.7008000831411</v>
      </c>
      <c r="F13">
        <f>IF(ROW(B12)-2&lt;Simulatore!$B$15,  0, B13+(1+'Calcoli Perseo'!$L$3-0.0035)*F12)</f>
        <v>16983.746264287249</v>
      </c>
      <c r="G13" s="3">
        <f t="shared" si="6"/>
        <v>39674.624166666668</v>
      </c>
      <c r="H13">
        <f t="shared" si="7"/>
        <v>51415.151666666665</v>
      </c>
      <c r="I13">
        <f t="shared" si="8"/>
        <v>67282.041666666672</v>
      </c>
      <c r="K13" s="3"/>
      <c r="P13">
        <v>35534.828333333331</v>
      </c>
      <c r="Q13">
        <v>45539.205833333333</v>
      </c>
      <c r="R13">
        <v>59187.938333333332</v>
      </c>
    </row>
    <row r="14" spans="1:18" x14ac:dyDescent="0.15">
      <c r="A14">
        <f>(0.01+Simulatore!$B$18)*'Calcolo Versamenti'!B13</f>
        <v>842.30826040876161</v>
      </c>
      <c r="B14">
        <f>'Calcolo Versamenti'!C13</f>
        <v>2910.175039712271</v>
      </c>
      <c r="C14">
        <f>IF(ROW(B13)-2&lt;Simulatore!$B$15, 0,A14+(1+Simulatore!B$28-0.0023)*C13)</f>
        <v>5950.760203258199</v>
      </c>
      <c r="D14">
        <f>IF(ROW(B13)-2&lt;Simulatore!$B$15, 0, B14+(1+'Calcoli Perseo'!$L$4-0.0023)*D13)</f>
        <v>20559.876502257077</v>
      </c>
      <c r="E14">
        <f>IF(ROW(B13)-2&lt;Simulatore!$B$15, 0, A14+(1+Simulatore!B$27-0.0035)*E13)</f>
        <v>5844.0338244933564</v>
      </c>
      <c r="F14">
        <f>IF(ROW(B13)-2&lt;Simulatore!$B$15,  0, B14+(1+'Calcoli Perseo'!$L$3-0.0035)*F13)</f>
        <v>20191.136863624542</v>
      </c>
      <c r="G14" s="3">
        <f t="shared" si="6"/>
        <v>39674.624166666668</v>
      </c>
      <c r="H14">
        <f t="shared" si="7"/>
        <v>51415.151666666665</v>
      </c>
      <c r="I14">
        <f t="shared" si="8"/>
        <v>67282.041666666672</v>
      </c>
      <c r="K14" s="3" t="s">
        <v>31</v>
      </c>
      <c r="L14" cm="1">
        <f t="array" aca="1" ref="L14" ca="1">INDIRECT(ADDRESS(2022-Simulatore!B20-Simulatore!B14+Simulatore!B19+L12-46,IF(Simulatore!B21="M",2,8),,,CONCATENATE("Opzione ",Simulatore!B29)))</f>
        <v>50.08961</v>
      </c>
      <c r="P14">
        <v>38231.624166666668</v>
      </c>
      <c r="Q14">
        <v>49543.151666666665</v>
      </c>
      <c r="R14">
        <v>64825.041666666664</v>
      </c>
    </row>
    <row r="15" spans="1:18" x14ac:dyDescent="0.15">
      <c r="A15">
        <f>(0.01+Simulatore!$B$18)*'Calcolo Versamenti'!B14</f>
        <v>850.73134301284892</v>
      </c>
      <c r="B15">
        <f>'Calcolo Versamenti'!C14</f>
        <v>2939.276790109393</v>
      </c>
      <c r="C15">
        <f>IF(ROW(B14)-2&lt;Simulatore!$B$15, 0,A15+(1+Simulatore!B$28-0.0023)*C14)</f>
        <v>6942.5245630882673</v>
      </c>
      <c r="D15">
        <f>IF(ROW(B14)-2&lt;Simulatore!$B$15, 0, B15+(1+'Calcoli Perseo'!$L$4-0.0023)*D14)</f>
        <v>23986.422365469964</v>
      </c>
      <c r="E15">
        <f>IF(ROW(B14)-2&lt;Simulatore!$B$15, 0, A15+(1+Simulatore!B$27-0.0035)*E14)</f>
        <v>6797.0357594348379</v>
      </c>
      <c r="F15">
        <f>IF(ROW(B14)-2&lt;Simulatore!$B$15,  0, B15+(1+'Calcoli Perseo'!$L$3-0.0035)*F14)</f>
        <v>23483.758548847363</v>
      </c>
      <c r="G15" s="3">
        <f t="shared" si="6"/>
        <v>39674.624166666668</v>
      </c>
      <c r="H15">
        <f t="shared" si="7"/>
        <v>51415.151666666665</v>
      </c>
      <c r="I15">
        <f t="shared" si="8"/>
        <v>67282.041666666672</v>
      </c>
      <c r="P15">
        <v>41013.364166666666</v>
      </c>
      <c r="Q15">
        <v>53540.554166666669</v>
      </c>
      <c r="R15">
        <v>70413.654999999999</v>
      </c>
    </row>
    <row r="16" spans="1:18" x14ac:dyDescent="0.15">
      <c r="A16">
        <f>(0.01+Simulatore!$B$18)*'Calcolo Versamenti'!B15</f>
        <v>921.73551463696117</v>
      </c>
      <c r="B16">
        <f>'Calcolo Versamenti'!C15</f>
        <v>3184.5962030707005</v>
      </c>
      <c r="C16">
        <f>IF(ROW(B15)-2&lt;Simulatore!$B$15, 0,A16+(1+Simulatore!B$28-0.0023)*C15)</f>
        <v>8028.7979098704209</v>
      </c>
      <c r="D16">
        <f>IF(ROW(B15)-2&lt;Simulatore!$B$15, 0, B16+(1+'Calcoli Perseo'!$L$4-0.0023)*D15)</f>
        <v>27739.496778602304</v>
      </c>
      <c r="E16">
        <f>IF(ROW(B15)-2&lt;Simulatore!$B$15, 0, A16+(1+Simulatore!B$27-0.0035)*E15)</f>
        <v>7837.7193998619077</v>
      </c>
      <c r="F16">
        <f>IF(ROW(B15)-2&lt;Simulatore!$B$15,  0, B16+(1+'Calcoli Perseo'!$L$3-0.0035)*F15)</f>
        <v>27079.32052652289</v>
      </c>
      <c r="G16" s="3">
        <f>39286.49*13/12</f>
        <v>42560.364166666666</v>
      </c>
      <c r="H16">
        <f>51294.05*13/12</f>
        <v>55568.554166666669</v>
      </c>
      <c r="I16">
        <f>67457.22*13/12</f>
        <v>73078.654999999999</v>
      </c>
      <c r="P16">
        <v>45952.45416666667</v>
      </c>
      <c r="Q16">
        <v>60278.79</v>
      </c>
      <c r="R16">
        <v>80640.603333333333</v>
      </c>
    </row>
    <row r="17" spans="1:18" x14ac:dyDescent="0.15">
      <c r="A17">
        <f>(0.01+Simulatore!$B$18)*'Calcolo Versamenti'!B16</f>
        <v>930.95286978333081</v>
      </c>
      <c r="B17">
        <f>'Calcolo Versamenti'!C16</f>
        <v>3216.4421651014077</v>
      </c>
      <c r="C17">
        <f>IF(ROW(B16)-2&lt;Simulatore!$B$15, 0,A17+(1+Simulatore!B$28-0.0023)*C16)</f>
        <v>9150.0332901176807</v>
      </c>
      <c r="D17">
        <f>IF(ROW(B16)-2&lt;Simulatore!$B$15, 0, B17+(1+'Calcoli Perseo'!$L$4-0.0023)*D16)</f>
        <v>31613.365017356591</v>
      </c>
      <c r="E17">
        <f>IF(ROW(B16)-2&lt;Simulatore!$B$15, 0, A17+(1+Simulatore!B$27-0.0035)*E16)</f>
        <v>8905.8323591428198</v>
      </c>
      <c r="F17">
        <f>IF(ROW(B16)-2&lt;Simulatore!$B$15,  0, B17+(1+'Calcoli Perseo'!$L$3-0.0035)*F16)</f>
        <v>30769.650800838444</v>
      </c>
      <c r="G17" s="3">
        <f t="shared" ref="G17:G19" si="9">39286.49*13/12</f>
        <v>42560.364166666666</v>
      </c>
      <c r="H17">
        <f t="shared" ref="H17:H19" si="10">51294.05*13/12</f>
        <v>55568.554166666669</v>
      </c>
      <c r="I17">
        <f t="shared" ref="I17:I19" si="11">67457.22*13/12</f>
        <v>73078.654999999999</v>
      </c>
      <c r="P17">
        <v>49930.085833333338</v>
      </c>
      <c r="Q17">
        <v>65845.617500000008</v>
      </c>
      <c r="R17">
        <v>88360.729166666672</v>
      </c>
    </row>
    <row r="18" spans="1:18" x14ac:dyDescent="0.15">
      <c r="A18">
        <f>(0.01+Simulatore!$B$18)*'Calcolo Versamenti'!B17</f>
        <v>940.26239848116427</v>
      </c>
      <c r="B18">
        <f>'Calcolo Versamenti'!C17</f>
        <v>3248.6065867524221</v>
      </c>
      <c r="C18">
        <f>IF(ROW(B17)-2&lt;Simulatore!$B$15, 0,A18+(1+Simulatore!B$28-0.0023)*C17)</f>
        <v>10307.151477574635</v>
      </c>
      <c r="D18">
        <f>IF(ROW(B17)-2&lt;Simulatore!$B$15, 0, B18+(1+'Calcoli Perseo'!$L$4-0.0023)*D17)</f>
        <v>35611.208355020368</v>
      </c>
      <c r="E18">
        <f>IF(ROW(B17)-2&lt;Simulatore!$B$15, 0, A18+(1+Simulatore!B$27-0.0035)*E17)</f>
        <v>10001.946823908982</v>
      </c>
      <c r="F18">
        <f>IF(ROW(B17)-2&lt;Simulatore!$B$15,  0, B18+(1+'Calcoli Perseo'!$L$3-0.0035)*F17)</f>
        <v>34556.726276605536</v>
      </c>
      <c r="G18" s="3">
        <f t="shared" si="9"/>
        <v>42560.364166666666</v>
      </c>
      <c r="H18">
        <f t="shared" si="10"/>
        <v>55568.554166666669</v>
      </c>
      <c r="I18">
        <f t="shared" si="11"/>
        <v>73078.654999999999</v>
      </c>
      <c r="P18">
        <v>55009.879166666658</v>
      </c>
      <c r="Q18">
        <v>72973.474166666667</v>
      </c>
      <c r="R18">
        <v>98370.805000000008</v>
      </c>
    </row>
    <row r="19" spans="1:18" x14ac:dyDescent="0.15">
      <c r="A19">
        <f>(0.01+Simulatore!$B$18)*'Calcolo Versamenti'!B18</f>
        <v>949.66502246597565</v>
      </c>
      <c r="B19">
        <f>'Calcolo Versamenti'!C18</f>
        <v>3281.0926526199455</v>
      </c>
      <c r="C19">
        <f>IF(ROW(B18)-2&lt;Simulatore!$B$15, 0,A19+(1+Simulatore!B$28-0.0023)*C18)</f>
        <v>11501.09599005913</v>
      </c>
      <c r="D19">
        <f>IF(ROW(B18)-2&lt;Simulatore!$B$15, 0, B19+(1+'Calcoli Perseo'!$L$4-0.0023)*D18)</f>
        <v>39736.286645654298</v>
      </c>
      <c r="E19">
        <f>IF(ROW(B18)-2&lt;Simulatore!$B$15, 0, A19+(1+Simulatore!B$27-0.0035)*E18)</f>
        <v>11126.645915793362</v>
      </c>
      <c r="F19">
        <f>IF(ROW(B18)-2&lt;Simulatore!$B$15,  0, B19+(1+'Calcoli Perseo'!$L$3-0.0035)*F18)</f>
        <v>38442.561639066073</v>
      </c>
      <c r="G19" s="3">
        <f t="shared" si="9"/>
        <v>42560.364166666666</v>
      </c>
      <c r="H19">
        <f t="shared" si="10"/>
        <v>55568.554166666669</v>
      </c>
      <c r="I19">
        <f t="shared" si="11"/>
        <v>73078.654999999999</v>
      </c>
    </row>
    <row r="20" spans="1:18" x14ac:dyDescent="0.15">
      <c r="A20">
        <f>(0.01+Simulatore!$B$18)*'Calcolo Versamenti'!B19</f>
        <v>1074.8660950696406</v>
      </c>
      <c r="B20">
        <f>'Calcolo Versamenti'!C19</f>
        <v>3713.6623584656072</v>
      </c>
      <c r="C20">
        <f>IF(ROW(B19)-2&lt;Simulatore!$B$15, 0,A20+(1+Simulatore!B$28-0.0023)*C19)</f>
        <v>12848.538060093173</v>
      </c>
      <c r="D20">
        <f>IF(ROW(B19)-2&lt;Simulatore!$B$15, 0, B20+(1+'Calcoli Perseo'!$L$4-0.0023)*D19)</f>
        <v>44391.698997621912</v>
      </c>
      <c r="E20">
        <f>IF(ROW(B19)-2&lt;Simulatore!$B$15, 0, A20+(1+Simulatore!B$27-0.0035)*E19)</f>
        <v>12396.228314389386</v>
      </c>
      <c r="F20">
        <f>IF(ROW(B19)-2&lt;Simulatore!$B$15,  0, B20+(1+'Calcoli Perseo'!$L$3-0.0035)*F19)</f>
        <v>42828.968826215329</v>
      </c>
      <c r="G20" s="3">
        <f>44025.65*13/12</f>
        <v>47694.45416666667</v>
      </c>
      <c r="H20">
        <f>57753.96*13/12</f>
        <v>62566.79</v>
      </c>
      <c r="I20">
        <f>77257.48*13/12</f>
        <v>83695.603333333333</v>
      </c>
    </row>
    <row r="21" spans="1:18" x14ac:dyDescent="0.15">
      <c r="A21">
        <f>(0.01+Simulatore!$B$18)*'Calcolo Versamenti'!B20</f>
        <v>1085.6147560203369</v>
      </c>
      <c r="B21">
        <f>'Calcolo Versamenti'!C20</f>
        <v>3750.7989820502639</v>
      </c>
      <c r="C21">
        <f>IF(ROW(B20)-2&lt;Simulatore!$B$15, 0,A21+(1+Simulatore!B$28-0.0023)*C20)</f>
        <v>14238.663168137718</v>
      </c>
      <c r="D21">
        <f>IF(ROW(B20)-2&lt;Simulatore!$B$15, 0, B21+(1+'Calcoli Perseo'!$L$4-0.0023)*D20)</f>
        <v>49194.581245915819</v>
      </c>
      <c r="E21">
        <f>IF(ROW(B20)-2&lt;Simulatore!$B$15, 0, A21+(1+Simulatore!B$27-0.0035)*E20)</f>
        <v>13698.777065911536</v>
      </c>
      <c r="F21">
        <f>IF(ROW(B20)-2&lt;Simulatore!$B$15,  0, B21+(1+'Calcoli Perseo'!$L$3-0.0035)*F20)</f>
        <v>47329.274762724352</v>
      </c>
      <c r="G21" s="3">
        <f t="shared" ref="G21:G24" si="12">44025.65*13/12</f>
        <v>47694.45416666667</v>
      </c>
      <c r="H21">
        <f t="shared" ref="H21:H24" si="13">57753.96*13/12</f>
        <v>62566.79</v>
      </c>
      <c r="I21">
        <f t="shared" ref="I21:I24" si="14">77257.48*13/12</f>
        <v>83695.603333333333</v>
      </c>
    </row>
    <row r="22" spans="1:18" x14ac:dyDescent="0.15">
      <c r="A22">
        <f>(0.01+Simulatore!$B$18)*'Calcolo Versamenti'!B21</f>
        <v>1096.4709035805404</v>
      </c>
      <c r="B22">
        <f>'Calcolo Versamenti'!C21</f>
        <v>3788.3069718707666</v>
      </c>
      <c r="C22">
        <f>IF(ROW(B21)-2&lt;Simulatore!$B$15, 0,A22+(1+Simulatore!B$28-0.0023)*C21)</f>
        <v>15672.590388803124</v>
      </c>
      <c r="D22">
        <f>IF(ROW(B21)-2&lt;Simulatore!$B$15, 0, B22+(1+'Calcoli Perseo'!$L$4-0.0023)*D21)</f>
        <v>54148.7997933148</v>
      </c>
      <c r="E22">
        <f>IF(ROW(B21)-2&lt;Simulatore!$B$15, 0, A22+(1+Simulatore!B$27-0.0035)*E21)</f>
        <v>15034.976568145526</v>
      </c>
      <c r="F22">
        <f>IF(ROW(B21)-2&lt;Simulatore!$B$15,  0, B22+(1+'Calcoli Perseo'!$L$3-0.0035)*F21)</f>
        <v>51945.844042942786</v>
      </c>
      <c r="G22" s="3">
        <f t="shared" si="12"/>
        <v>47694.45416666667</v>
      </c>
      <c r="H22">
        <f t="shared" si="13"/>
        <v>62566.79</v>
      </c>
      <c r="I22">
        <f t="shared" si="14"/>
        <v>83695.603333333333</v>
      </c>
    </row>
    <row r="23" spans="1:18" x14ac:dyDescent="0.15">
      <c r="A23">
        <f>(0.01+Simulatore!$B$18)*'Calcolo Versamenti'!B22</f>
        <v>1107.4356126163455</v>
      </c>
      <c r="B23">
        <f>'Calcolo Versamenti'!C22</f>
        <v>3826.1900415894734</v>
      </c>
      <c r="C23">
        <f>IF(ROW(B22)-2&lt;Simulatore!$B$15, 0,A23+(1+Simulatore!B$28-0.0023)*C22)</f>
        <v>17151.466393634106</v>
      </c>
      <c r="D23">
        <f>IF(ROW(B22)-2&lt;Simulatore!$B$15, 0, B23+(1+'Calcoli Perseo'!$L$4-0.0023)*D22)</f>
        <v>59258.316390005835</v>
      </c>
      <c r="E23">
        <f>IF(ROW(B22)-2&lt;Simulatore!$B$15, 0, A23+(1+Simulatore!B$27-0.0035)*E22)</f>
        <v>16405.524270704416</v>
      </c>
      <c r="F23">
        <f>IF(ROW(B22)-2&lt;Simulatore!$B$15,  0, B23+(1+'Calcoli Perseo'!$L$3-0.0035)*F22)</f>
        <v>56681.086355283747</v>
      </c>
      <c r="G23" s="3">
        <f t="shared" si="12"/>
        <v>47694.45416666667</v>
      </c>
      <c r="H23">
        <f t="shared" si="13"/>
        <v>62566.79</v>
      </c>
      <c r="I23">
        <f t="shared" si="14"/>
        <v>83695.603333333333</v>
      </c>
    </row>
    <row r="24" spans="1:18" x14ac:dyDescent="0.15">
      <c r="A24">
        <f>(0.01+Simulatore!$B$18)*'Calcolo Versamenti'!B23</f>
        <v>1118.5099687425093</v>
      </c>
      <c r="B24">
        <f>'Calcolo Versamenti'!C23</f>
        <v>3864.4519420053689</v>
      </c>
      <c r="C24">
        <f>IF(ROW(B23)-2&lt;Simulatore!$B$15, 0,A24+(1+Simulatore!B$28-0.0023)*C23)</f>
        <v>18676.466115905743</v>
      </c>
      <c r="D24">
        <f>IF(ROW(B23)-2&lt;Simulatore!$B$15, 0, B24+(1+'Calcoli Perseo'!$L$4-0.0023)*D23)</f>
        <v>64527.19043045435</v>
      </c>
      <c r="E24">
        <f>IF(ROW(B23)-2&lt;Simulatore!$B$15, 0, A24+(1+Simulatore!B$27-0.0035)*E23)</f>
        <v>17811.13091418425</v>
      </c>
      <c r="F24">
        <f>IF(ROW(B23)-2&lt;Simulatore!$B$15,  0, B24+(1+'Calcoli Perseo'!$L$3-0.0035)*F23)</f>
        <v>61537.457308506571</v>
      </c>
      <c r="G24" s="3">
        <f t="shared" si="12"/>
        <v>47694.45416666667</v>
      </c>
      <c r="H24">
        <f t="shared" si="13"/>
        <v>62566.79</v>
      </c>
      <c r="I24">
        <f t="shared" si="14"/>
        <v>83695.603333333333</v>
      </c>
    </row>
    <row r="25" spans="1:18" x14ac:dyDescent="0.15">
      <c r="A25">
        <f>(0.01+Simulatore!$B$18)*'Calcolo Versamenti'!B24</f>
        <v>1227.2967152877141</v>
      </c>
      <c r="B25">
        <f>'Calcolo Versamenti'!C24</f>
        <v>4240.3101513190513</v>
      </c>
      <c r="C25">
        <f>IF(ROW(B24)-2&lt;Simulatore!$B$15, 0,A25+(1+Simulatore!B$28-0.0023)*C24)</f>
        <v>20346.395078140424</v>
      </c>
      <c r="D25">
        <f>IF(ROW(B24)-2&lt;Simulatore!$B$15, 0, B25+(1+'Calcoli Perseo'!$L$4-0.0023)*D24)</f>
        <v>70296.794994975164</v>
      </c>
      <c r="E25">
        <f>IF(ROW(B24)-2&lt;Simulatore!$B$15, 0, A25+(1+Simulatore!B$27-0.0035)*E24)</f>
        <v>19350.122420470187</v>
      </c>
      <c r="F25">
        <f>IF(ROW(B24)-2&lt;Simulatore!$B$15,  0, B25+(1+'Calcoli Perseo'!$L$3-0.0035)*F24)</f>
        <v>66854.672962724479</v>
      </c>
      <c r="G25" s="3">
        <f>47829.31*13/12</f>
        <v>51815.085833333338</v>
      </c>
      <c r="H25">
        <f>63084.57*13/12</f>
        <v>68341.617500000008</v>
      </c>
      <c r="I25">
        <f>84659.75*13/12</f>
        <v>91714.729166666672</v>
      </c>
    </row>
    <row r="26" spans="1:18" x14ac:dyDescent="0.15">
      <c r="A26">
        <f>(0.01+Simulatore!$B$18)*'Calcolo Versamenti'!B25</f>
        <v>1239.5696824405914</v>
      </c>
      <c r="B26">
        <f>'Calcolo Versamenti'!C25</f>
        <v>4282.7132528322427</v>
      </c>
      <c r="C26">
        <f>IF(ROW(B25)-2&lt;Simulatore!$B$15, 0,A26+(1+Simulatore!B$28-0.0023)*C25)</f>
        <v>22068.174323932944</v>
      </c>
      <c r="D26">
        <f>IF(ROW(B25)-2&lt;Simulatore!$B$15, 0, B26+(1+'Calcoli Perseo'!$L$4-0.0023)*D25)</f>
        <v>76245.542289188321</v>
      </c>
      <c r="E26">
        <f>IF(ROW(B25)-2&lt;Simulatore!$B$15, 0, A26+(1+Simulatore!B$27-0.0035)*E25)</f>
        <v>20928.319245269005</v>
      </c>
      <c r="F26">
        <f>IF(ROW(B25)-2&lt;Simulatore!$B$15,  0, B26+(1+'Calcoli Perseo'!$L$3-0.0035)*F25)</f>
        <v>72307.342992404388</v>
      </c>
      <c r="G26" s="3">
        <f t="shared" ref="G26:G32" si="15">47829.31*13/12</f>
        <v>51815.085833333338</v>
      </c>
      <c r="H26">
        <f t="shared" ref="H26:H32" si="16">63084.57*13/12</f>
        <v>68341.617500000008</v>
      </c>
      <c r="I26">
        <f t="shared" ref="I26:I32" si="17">84659.75*13/12</f>
        <v>91714.729166666672</v>
      </c>
      <c r="L26" s="3"/>
    </row>
    <row r="27" spans="1:18" x14ac:dyDescent="0.15">
      <c r="A27">
        <f>(0.01+Simulatore!$B$18)*'Calcolo Versamenti'!B26</f>
        <v>1251.965379264997</v>
      </c>
      <c r="B27">
        <f>'Calcolo Versamenti'!C26</f>
        <v>4325.540385360564</v>
      </c>
      <c r="C27">
        <f>IF(ROW(B26)-2&lt;Simulatore!$B$15, 0,A27+(1+Simulatore!B$28-0.0023)*C26)</f>
        <v>23843.155434675151</v>
      </c>
      <c r="D27">
        <f>IF(ROW(B26)-2&lt;Simulatore!$B$15, 0, B27+(1+'Calcoli Perseo'!$L$4-0.0023)*D26)</f>
        <v>82378.102026802662</v>
      </c>
      <c r="E27">
        <f>IF(ROW(B26)-2&lt;Simulatore!$B$15, 0, A27+(1+Simulatore!B$27-0.0035)*E26)</f>
        <v>22546.530211326208</v>
      </c>
      <c r="F27">
        <f>IF(ROW(B26)-2&lt;Simulatore!$B$15,  0, B27+(1+'Calcoli Perseo'!$L$3-0.0035)*F26)</f>
        <v>77898.26188013202</v>
      </c>
      <c r="G27" s="3">
        <f t="shared" si="15"/>
        <v>51815.085833333338</v>
      </c>
      <c r="H27">
        <f t="shared" si="16"/>
        <v>68341.617500000008</v>
      </c>
      <c r="I27">
        <f t="shared" si="17"/>
        <v>91714.729166666672</v>
      </c>
    </row>
    <row r="28" spans="1:18" x14ac:dyDescent="0.15">
      <c r="A28">
        <f>(0.01+Simulatore!$B$18)*'Calcolo Versamenti'!B27</f>
        <v>1264.4850330576469</v>
      </c>
      <c r="B28">
        <f>'Calcolo Versamenti'!C27</f>
        <v>4368.7957892141694</v>
      </c>
      <c r="C28">
        <f>IF(ROW(B27)-2&lt;Simulatore!$B$15, 0,A28+(1+Simulatore!B$28-0.0023)*C27)</f>
        <v>25672.7232515346</v>
      </c>
      <c r="D28">
        <f>IF(ROW(B27)-2&lt;Simulatore!$B$15, 0, B28+(1+'Calcoli Perseo'!$L$4-0.0023)*D27)</f>
        <v>88699.25883405206</v>
      </c>
      <c r="E28">
        <f>IF(ROW(B27)-2&lt;Simulatore!$B$15, 0, A28+(1+Simulatore!B$27-0.0035)*E27)</f>
        <v>24205.579523082062</v>
      </c>
      <c r="F28">
        <f>IF(ROW(B27)-2&lt;Simulatore!$B$15,  0, B28+(1+'Calcoli Perseo'!$L$3-0.0035)*F27)</f>
        <v>83630.277252248488</v>
      </c>
      <c r="G28" s="3">
        <f t="shared" si="15"/>
        <v>51815.085833333338</v>
      </c>
      <c r="H28">
        <f t="shared" si="16"/>
        <v>68341.617500000008</v>
      </c>
      <c r="I28">
        <f t="shared" si="17"/>
        <v>91714.729166666672</v>
      </c>
    </row>
    <row r="29" spans="1:18" x14ac:dyDescent="0.15">
      <c r="A29">
        <f>(0.01+Simulatore!$B$18)*'Calcolo Versamenti'!B28</f>
        <v>1277.1298833882233</v>
      </c>
      <c r="B29">
        <f>'Calcolo Versamenti'!C28</f>
        <v>4412.4837471063111</v>
      </c>
      <c r="C29">
        <f>IF(ROW(B28)-2&lt;Simulatore!$B$15, 0,A29+(1+Simulatore!B$28-0.0023)*C28)</f>
        <v>27558.296675984195</v>
      </c>
      <c r="D29">
        <f>IF(ROW(B28)-2&lt;Simulatore!$B$15, 0, B29+(1+'Calcoli Perseo'!$L$4-0.0023)*D28)</f>
        <v>95213.915015525403</v>
      </c>
      <c r="E29">
        <f>IF(ROW(B28)-2&lt;Simulatore!$B$15, 0, A29+(1+Simulatore!B$27-0.0035)*E28)</f>
        <v>25906.307048124218</v>
      </c>
      <c r="F29">
        <f>IF(ROW(B28)-2&lt;Simulatore!$B$15,  0, B29+(1+'Calcoli Perseo'!$L$3-0.0035)*F28)</f>
        <v>89506.290851269136</v>
      </c>
      <c r="G29" s="3">
        <f t="shared" si="15"/>
        <v>51815.085833333338</v>
      </c>
      <c r="H29">
        <f t="shared" si="16"/>
        <v>68341.617500000008</v>
      </c>
      <c r="I29">
        <f t="shared" si="17"/>
        <v>91714.729166666672</v>
      </c>
    </row>
    <row r="30" spans="1:18" x14ac:dyDescent="0.15">
      <c r="A30">
        <f>(0.01+Simulatore!$B$18)*'Calcolo Versamenti'!B29</f>
        <v>1289.9011822221059</v>
      </c>
      <c r="B30">
        <f>'Calcolo Versamenti'!C29</f>
        <v>4456.608584577375</v>
      </c>
      <c r="C30">
        <f>IF(ROW(B29)-2&lt;Simulatore!$B$15, 0,A30+(1+Simulatore!B$28-0.0023)*C29)</f>
        <v>29501.329489427128</v>
      </c>
      <c r="D30">
        <f>IF(ROW(B29)-2&lt;Simulatore!$B$15, 0, B30+(1+'Calcoli Perseo'!$L$4-0.0023)*D29)</f>
        <v>101927.09338597074</v>
      </c>
      <c r="E30">
        <f>IF(ROW(B29)-2&lt;Simulatore!$B$15, 0, A30+(1+Simulatore!B$27-0.0035)*E29)</f>
        <v>27649.568603688494</v>
      </c>
      <c r="F30">
        <f>IF(ROW(B29)-2&lt;Simulatore!$B$15,  0, B30+(1+'Calcoli Perseo'!$L$3-0.0035)*F29)</f>
        <v>95529.259525743706</v>
      </c>
      <c r="G30" s="3">
        <f t="shared" si="15"/>
        <v>51815.085833333338</v>
      </c>
      <c r="H30">
        <f t="shared" si="16"/>
        <v>68341.617500000008</v>
      </c>
      <c r="I30">
        <f t="shared" si="17"/>
        <v>91714.729166666672</v>
      </c>
    </row>
    <row r="31" spans="1:18" x14ac:dyDescent="0.15">
      <c r="A31">
        <f>(0.01+Simulatore!$B$18)*'Calcolo Versamenti'!B30</f>
        <v>1302.8001940443266</v>
      </c>
      <c r="B31">
        <f>'Calcolo Versamenti'!C30</f>
        <v>4501.1746704231482</v>
      </c>
      <c r="C31">
        <f>IF(ROW(B30)-2&lt;Simulatore!$B$15, 0,A31+(1+Simulatore!B$28-0.0023)*C30)</f>
        <v>31503.311192370882</v>
      </c>
      <c r="D31">
        <f>IF(ROW(B30)-2&lt;Simulatore!$B$15, 0, B31+(1+'Calcoli Perseo'!$L$4-0.0023)*D30)</f>
        <v>108843.9401696414</v>
      </c>
      <c r="E31">
        <f>IF(ROW(B30)-2&lt;Simulatore!$B$15, 0, A31+(1+Simulatore!B$27-0.0035)*E30)</f>
        <v>29436.236248297366</v>
      </c>
      <c r="F31">
        <f>IF(ROW(B30)-2&lt;Simulatore!$B$15,  0, B31+(1+'Calcoli Perseo'!$L$3-0.0035)*F30)</f>
        <v>101702.19623786735</v>
      </c>
      <c r="G31" s="3">
        <f t="shared" si="15"/>
        <v>51815.085833333338</v>
      </c>
      <c r="H31">
        <f t="shared" si="16"/>
        <v>68341.617500000008</v>
      </c>
      <c r="I31">
        <f t="shared" si="17"/>
        <v>91714.729166666672</v>
      </c>
    </row>
    <row r="32" spans="1:18" x14ac:dyDescent="0.15">
      <c r="A32">
        <f>(0.01+Simulatore!$B$18)*'Calcolo Versamenti'!B31</f>
        <v>1315.8281959847702</v>
      </c>
      <c r="B32">
        <f>'Calcolo Versamenti'!C31</f>
        <v>4546.1864171273801</v>
      </c>
      <c r="C32">
        <f>IF(ROW(B31)-2&lt;Simulatore!$B$15, 0,A32+(1+Simulatore!B$28-0.0023)*C31)</f>
        <v>33565.767863614848</v>
      </c>
      <c r="D32">
        <f>IF(ROW(B31)-2&lt;Simulatore!$B$15, 0, B32+(1+'Calcoli Perseo'!$L$4-0.0023)*D31)</f>
        <v>115969.72796878929</v>
      </c>
      <c r="E32">
        <f>IF(ROW(B31)-2&lt;Simulatore!$B$15, 0, A32+(1+Simulatore!B$27-0.0035)*E31)</f>
        <v>31267.198578627336</v>
      </c>
      <c r="F32">
        <f>IF(ROW(B31)-2&lt;Simulatore!$B$15,  0, B32+(1+'Calcoli Perseo'!$L$3-0.0035)*F31)</f>
        <v>108028.17108915739</v>
      </c>
      <c r="G32" s="3">
        <f t="shared" si="15"/>
        <v>51815.085833333338</v>
      </c>
      <c r="H32">
        <f t="shared" si="16"/>
        <v>68341.617500000008</v>
      </c>
      <c r="I32">
        <f t="shared" si="17"/>
        <v>91714.729166666672</v>
      </c>
    </row>
    <row r="33" spans="1:9" x14ac:dyDescent="0.15">
      <c r="A33">
        <f>(0.01+Simulatore!$B$18)*'Calcolo Versamenti'!B32</f>
        <v>1464.2777527000233</v>
      </c>
      <c r="B33">
        <f>'Calcolo Versamenti'!C32</f>
        <v>5059.0796355785797</v>
      </c>
      <c r="C33">
        <f>IF(ROW(B32)-2&lt;Simulatore!$B$15, 0,A33+(1+Simulatore!B$28-0.0023)*C32)</f>
        <v>35825.554314682544</v>
      </c>
      <c r="D33">
        <f>IF(ROW(B32)-2&lt;Simulatore!$B$15, 0, B33+(1+'Calcoli Perseo'!$L$4-0.0023)*D32)</f>
        <v>123777.29015722818</v>
      </c>
      <c r="E33">
        <f>IF(ROW(B32)-2&lt;Simulatore!$B$15, 0, A33+(1+Simulatore!B$27-0.0035)*E32)</f>
        <v>33278.652306453332</v>
      </c>
      <c r="F33">
        <f>IF(ROW(B32)-2&lt;Simulatore!$B$15,  0, B33+(1+'Calcoli Perseo'!$L$3-0.0035)*F32)</f>
        <v>114977.74371879622</v>
      </c>
      <c r="G33" s="3">
        <f>52698.35*13/12</f>
        <v>57089.879166666658</v>
      </c>
      <c r="H33">
        <f>69916.13*13/12</f>
        <v>75742.474166666667</v>
      </c>
      <c r="I33">
        <f>94247.82*13/12</f>
        <v>102101.80500000001</v>
      </c>
    </row>
    <row r="34" spans="1:9" x14ac:dyDescent="0.15">
      <c r="A34">
        <f>(0.01+Simulatore!$B$18)*'Calcolo Versamenti'!B33</f>
        <v>1478.9205302270234</v>
      </c>
      <c r="B34">
        <f>'Calcolo Versamenti'!C33</f>
        <v>5109.6704319343653</v>
      </c>
      <c r="C34">
        <f>IF(ROW(B33)-2&lt;Simulatore!$B$15, 0,A34+(1+Simulatore!B$28-0.0023)*C33)</f>
        <v>38153.54048216754</v>
      </c>
      <c r="D34">
        <f>IF(ROW(B33)-2&lt;Simulatore!$B$15, 0, B34+(1+'Calcoli Perseo'!$L$4-0.0023)*D33)</f>
        <v>131820.48236588886</v>
      </c>
      <c r="E34">
        <f>IF(ROW(B33)-2&lt;Simulatore!$B$15, 0, A34+(1+Simulatore!B$27-0.0035)*E33)</f>
        <v>35339.949252043283</v>
      </c>
      <c r="F34">
        <f>IF(ROW(B33)-2&lt;Simulatore!$B$15,  0, B34+(1+'Calcoli Perseo'!$L$3-0.0035)*F33)</f>
        <v>122099.52466580951</v>
      </c>
      <c r="G34" s="3">
        <f t="shared" ref="G34:G42" si="18">52698.35*13/12</f>
        <v>57089.879166666658</v>
      </c>
      <c r="H34">
        <f t="shared" ref="H34:H42" si="19">69916.13*13/12</f>
        <v>75742.474166666667</v>
      </c>
      <c r="I34">
        <f t="shared" ref="I34:I42" si="20">94247.82*13/12</f>
        <v>102101.80500000001</v>
      </c>
    </row>
    <row r="35" spans="1:9" x14ac:dyDescent="0.15">
      <c r="A35">
        <f>(0.01+Simulatore!$B$18)*'Calcolo Versamenti'!B34</f>
        <v>1493.7097355292933</v>
      </c>
      <c r="B35">
        <f>'Calcolo Versamenti'!C34</f>
        <v>5160.7671362537076</v>
      </c>
      <c r="C35">
        <f>IF(ROW(B34)-2&lt;Simulatore!$B$15, 0,A35+(1+Simulatore!B$28-0.0023)*C34)</f>
        <v>40551.489127124209</v>
      </c>
      <c r="D35">
        <f>IF(ROW(B34)-2&lt;Simulatore!$B$15, 0, B35+(1+'Calcoli Perseo'!$L$4-0.0023)*D34)</f>
        <v>140105.39493421416</v>
      </c>
      <c r="E35">
        <f>IF(ROW(B34)-2&lt;Simulatore!$B$15, 0, A35+(1+Simulatore!B$27-0.0035)*E34)</f>
        <v>37452.108099483332</v>
      </c>
      <c r="F35">
        <f>IF(ROW(B34)-2&lt;Simulatore!$B$15,  0, B35+(1+'Calcoli Perseo'!$L$3-0.0035)*F34)</f>
        <v>129397.03348371487</v>
      </c>
      <c r="G35" s="3">
        <f t="shared" si="18"/>
        <v>57089.879166666658</v>
      </c>
      <c r="H35">
        <f t="shared" si="19"/>
        <v>75742.474166666667</v>
      </c>
      <c r="I35">
        <f t="shared" si="20"/>
        <v>102101.80500000001</v>
      </c>
    </row>
    <row r="36" spans="1:9" x14ac:dyDescent="0.15">
      <c r="A36">
        <f>(0.01+Simulatore!$B$18)*'Calcolo Versamenti'!B35</f>
        <v>1508.6468328845863</v>
      </c>
      <c r="B36">
        <f>'Calcolo Versamenti'!C35</f>
        <v>5212.3748076162447</v>
      </c>
      <c r="C36">
        <f>IF(ROW(B35)-2&lt;Simulatore!$B$15, 0,A36+(1+Simulatore!B$28-0.0023)*C35)</f>
        <v>43021.206252321645</v>
      </c>
      <c r="D36">
        <f>IF(ROW(B35)-2&lt;Simulatore!$B$15, 0, B36+(1+'Calcoli Perseo'!$L$4-0.0023)*D35)</f>
        <v>148638.26760177128</v>
      </c>
      <c r="E36">
        <f>IF(ROW(B35)-2&lt;Simulatore!$B$15, 0, A36+(1+Simulatore!B$27-0.0035)*E35)</f>
        <v>39616.16682410887</v>
      </c>
      <c r="F36">
        <f>IF(ROW(B35)-2&lt;Simulatore!$B$15,  0, B36+(1+'Calcoli Perseo'!$L$3-0.0035)*F35)</f>
        <v>136873.85637729609</v>
      </c>
      <c r="G36" s="3">
        <f t="shared" si="18"/>
        <v>57089.879166666658</v>
      </c>
      <c r="H36">
        <f t="shared" si="19"/>
        <v>75742.474166666667</v>
      </c>
      <c r="I36">
        <f t="shared" si="20"/>
        <v>102101.80500000001</v>
      </c>
    </row>
    <row r="37" spans="1:9" x14ac:dyDescent="0.15">
      <c r="A37">
        <f>(0.01+Simulatore!$B$18)*'Calcolo Versamenti'!B36</f>
        <v>1523.7333012134322</v>
      </c>
      <c r="B37">
        <f>'Calcolo Versamenti'!C36</f>
        <v>5264.4985556924084</v>
      </c>
      <c r="C37">
        <f>IF(ROW(B36)-2&lt;Simulatore!$B$15, 0,A37+(1+Simulatore!B$28-0.0023)*C36)</f>
        <v>45564.542141715101</v>
      </c>
      <c r="D37">
        <f>IF(ROW(B36)-2&lt;Simulatore!$B$15, 0, B37+(1+'Calcoli Perseo'!$L$4-0.0023)*D36)</f>
        <v>157425.49309962569</v>
      </c>
      <c r="E37">
        <f>IF(ROW(B36)-2&lt;Simulatore!$B$15, 0, A37+(1+Simulatore!B$27-0.0035)*E36)</f>
        <v>41833.183044744204</v>
      </c>
      <c r="F37">
        <f>IF(ROW(B36)-2&lt;Simulatore!$B$15,  0, B37+(1+'Calcoli Perseo'!$L$3-0.0035)*F36)</f>
        <v>144533.64741959117</v>
      </c>
      <c r="G37" s="3">
        <f t="shared" si="18"/>
        <v>57089.879166666658</v>
      </c>
      <c r="H37">
        <f t="shared" si="19"/>
        <v>75742.474166666667</v>
      </c>
      <c r="I37">
        <f t="shared" si="20"/>
        <v>102101.80500000001</v>
      </c>
    </row>
    <row r="38" spans="1:9" x14ac:dyDescent="0.15">
      <c r="A38">
        <f>(0.01+Simulatore!$B$18)*'Calcolo Versamenti'!B37</f>
        <v>1538.9706342255668</v>
      </c>
      <c r="B38">
        <f>'Calcolo Versamenti'!C37</f>
        <v>5317.1435412493329</v>
      </c>
      <c r="C38">
        <f>IF(ROW(B37)-2&lt;Simulatore!$B$15, 0,A38+(1+Simulatore!B$28-0.0023)*C37)</f>
        <v>48183.392424699319</v>
      </c>
      <c r="D38">
        <f>IF(ROW(B37)-2&lt;Simulatore!$B$15, 0, B38+(1+'Calcoli Perseo'!$L$4-0.0023)*D37)</f>
        <v>166473.62082733616</v>
      </c>
      <c r="E38">
        <f>IF(ROW(B37)-2&lt;Simulatore!$B$15, 0, A38+(1+Simulatore!B$27-0.0035)*E37)</f>
        <v>44104.234382252791</v>
      </c>
      <c r="F38">
        <f>IF(ROW(B37)-2&lt;Simulatore!$B$15,  0, B38+(1+'Calcoli Perseo'!$L$3-0.0035)*F37)</f>
        <v>152380.12979068334</v>
      </c>
      <c r="G38" s="3">
        <f t="shared" si="18"/>
        <v>57089.879166666658</v>
      </c>
      <c r="H38">
        <f t="shared" si="19"/>
        <v>75742.474166666667</v>
      </c>
      <c r="I38">
        <f t="shared" si="20"/>
        <v>102101.80500000001</v>
      </c>
    </row>
    <row r="39" spans="1:9" x14ac:dyDescent="0.15">
      <c r="A39">
        <f>(0.01+Simulatore!$B$18)*'Calcolo Versamenti'!B38</f>
        <v>1554.360340567822</v>
      </c>
      <c r="B39">
        <f>'Calcolo Versamenti'!C38</f>
        <v>5370.3149766618244</v>
      </c>
      <c r="C39">
        <f>IF(ROW(B38)-2&lt;Simulatore!$B$15, 0,A39+(1+Simulatore!B$28-0.0023)*C38)</f>
        <v>50879.69916573252</v>
      </c>
      <c r="D39">
        <f>IF(ROW(B38)-2&lt;Simulatore!$B$15, 0, B39+(1+'Calcoli Perseo'!$L$4-0.0023)*D38)</f>
        <v>175789.36061760585</v>
      </c>
      <c r="E39">
        <f>IF(ROW(B38)-2&lt;Simulatore!$B$15, 0, A39+(1+Simulatore!B$27-0.0035)*E38)</f>
        <v>46430.41882451003</v>
      </c>
      <c r="F39">
        <f>IF(ROW(B38)-2&lt;Simulatore!$B$15,  0, B39+(1+'Calcoli Perseo'!$L$3-0.0035)*F38)</f>
        <v>160417.09703868208</v>
      </c>
      <c r="G39" s="3">
        <f t="shared" si="18"/>
        <v>57089.879166666658</v>
      </c>
      <c r="H39">
        <f t="shared" si="19"/>
        <v>75742.474166666667</v>
      </c>
      <c r="I39">
        <f t="shared" si="20"/>
        <v>102101.80500000001</v>
      </c>
    </row>
    <row r="40" spans="1:9" x14ac:dyDescent="0.15">
      <c r="A40">
        <f>(0.01+Simulatore!$B$18)*'Calcolo Versamenti'!B39</f>
        <v>1569.9039439735006</v>
      </c>
      <c r="B40">
        <f>'Calcolo Versamenti'!C39</f>
        <v>5424.0181264284438</v>
      </c>
      <c r="C40">
        <f>IF(ROW(B39)-2&lt;Simulatore!$B$15, 0,A40+(1+Simulatore!B$28-0.0023)*C39)</f>
        <v>53655.451979933881</v>
      </c>
      <c r="D40">
        <f>IF(ROW(B39)-2&lt;Simulatore!$B$15, 0, B40+(1+'Calcoli Perseo'!$L$4-0.0023)*D39)</f>
        <v>185379.58659067156</v>
      </c>
      <c r="E40">
        <f>IF(ROW(B39)-2&lt;Simulatore!$B$15, 0, A40+(1+Simulatore!B$27-0.0035)*E39)</f>
        <v>48812.855097912448</v>
      </c>
      <c r="F40">
        <f>IF(ROW(B39)-2&lt;Simulatore!$B$15,  0, B40+(1+'Calcoli Perseo'!$L$3-0.0035)*F39)</f>
        <v>168648.41436328745</v>
      </c>
      <c r="G40" s="3">
        <f t="shared" si="18"/>
        <v>57089.879166666658</v>
      </c>
      <c r="H40">
        <f t="shared" si="19"/>
        <v>75742.474166666667</v>
      </c>
      <c r="I40">
        <f t="shared" si="20"/>
        <v>102101.80500000001</v>
      </c>
    </row>
    <row r="41" spans="1:9" x14ac:dyDescent="0.15">
      <c r="A41">
        <f>(0.01+Simulatore!$B$18)*'Calcolo Versamenti'!B40</f>
        <v>1585.6029834132357</v>
      </c>
      <c r="B41">
        <f>'Calcolo Versamenti'!C40</f>
        <v>5478.2583076927285</v>
      </c>
      <c r="C41">
        <f>IF(ROW(B40)-2&lt;Simulatore!$B$15, 0,A41+(1+Simulatore!B$28-0.0023)*C40)</f>
        <v>56512.689175271553</v>
      </c>
      <c r="D41">
        <f>IF(ROW(B40)-2&lt;Simulatore!$B$15, 0, B41+(1+'Calcoli Perseo'!$L$4-0.0023)*D40)</f>
        <v>195251.34110056324</v>
      </c>
      <c r="E41">
        <f>IF(ROW(B40)-2&lt;Simulatore!$B$15, 0, A41+(1+Simulatore!B$27-0.0035)*E40)</f>
        <v>51252.683045539146</v>
      </c>
      <c r="F41">
        <f>IF(ROW(B40)-2&lt;Simulatore!$B$15,  0, B41+(1+'Calcoli Perseo'!$L$3-0.0035)*F40)</f>
        <v>177078.0199223377</v>
      </c>
      <c r="G41" s="3">
        <f t="shared" si="18"/>
        <v>57089.879166666658</v>
      </c>
      <c r="H41">
        <f t="shared" si="19"/>
        <v>75742.474166666667</v>
      </c>
      <c r="I41">
        <f t="shared" si="20"/>
        <v>102101.80500000001</v>
      </c>
    </row>
    <row r="42" spans="1:9" x14ac:dyDescent="0.15">
      <c r="A42">
        <f>(0.01+Simulatore!$B$18)*'Calcolo Versamenti'!B41</f>
        <v>1601.4590132473679</v>
      </c>
      <c r="B42">
        <f>'Calcolo Versamenti'!C41</f>
        <v>5533.0408907696556</v>
      </c>
      <c r="C42">
        <f>IF(ROW(B41)-2&lt;Simulatore!$B$15, 0,A42+(1+Simulatore!B$28-0.0023)*C41)</f>
        <v>59453.49892197286</v>
      </c>
      <c r="D42">
        <f>IF(ROW(B41)-2&lt;Simulatore!$B$15, 0, B42+(1+'Calcoli Perseo'!$L$4-0.0023)*D41)</f>
        <v>205411.83877541625</v>
      </c>
      <c r="E42">
        <f>IF(ROW(B41)-2&lt;Simulatore!$B$15, 0, A42+(1+Simulatore!B$27-0.0035)*E41)</f>
        <v>53751.064012083443</v>
      </c>
      <c r="F42">
        <f>IF(ROW(B41)-2&lt;Simulatore!$B$15,  0, B42+(1+'Calcoli Perseo'!$L$3-0.0035)*F41)</f>
        <v>185709.92616174824</v>
      </c>
      <c r="G42" s="3">
        <f t="shared" si="18"/>
        <v>57089.879166666658</v>
      </c>
      <c r="H42">
        <f t="shared" si="19"/>
        <v>75742.474166666667</v>
      </c>
      <c r="I42">
        <f t="shared" si="20"/>
        <v>102101.80500000001</v>
      </c>
    </row>
    <row r="43" spans="1:9" x14ac:dyDescent="0.15">
      <c r="G43" s="3"/>
    </row>
    <row r="44" spans="1:9" x14ac:dyDescent="0.15">
      <c r="G44" s="3"/>
    </row>
    <row r="45" spans="1:9" x14ac:dyDescent="0.15">
      <c r="G45" s="3"/>
    </row>
    <row r="46" spans="1:9" x14ac:dyDescent="0.15">
      <c r="G46" s="3"/>
    </row>
    <row r="47" spans="1:9" x14ac:dyDescent="0.15">
      <c r="G47" s="3"/>
    </row>
    <row r="48" spans="1:9" x14ac:dyDescent="0.15">
      <c r="G48" s="3"/>
    </row>
    <row r="49" spans="7:7" x14ac:dyDescent="0.15">
      <c r="G49" s="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5A742-B0B4-ED44-84E4-59ECDE0213F7}">
  <dimension ref="A1:D69"/>
  <sheetViews>
    <sheetView zoomScale="85" zoomScaleNormal="85" workbookViewId="0">
      <selection activeCell="D54" sqref="D54"/>
    </sheetView>
  </sheetViews>
  <sheetFormatPr baseColWidth="10" defaultColWidth="11.5" defaultRowHeight="13" x14ac:dyDescent="0.15"/>
  <cols>
    <col min="1" max="1" width="20.1640625" style="34" customWidth="1"/>
    <col min="2" max="2" width="11.5" style="34"/>
    <col min="3" max="3" width="18.6640625" style="34" customWidth="1"/>
    <col min="4" max="16384" width="11.5" style="34"/>
  </cols>
  <sheetData>
    <row r="1" spans="1:4" x14ac:dyDescent="0.15">
      <c r="A1" s="34" t="s">
        <v>114</v>
      </c>
      <c r="C1" s="34" t="s">
        <v>113</v>
      </c>
    </row>
    <row r="2" spans="1:4" x14ac:dyDescent="0.15">
      <c r="A2" s="34" t="s">
        <v>112</v>
      </c>
      <c r="C2" s="34" t="s">
        <v>112</v>
      </c>
    </row>
    <row r="3" spans="1:4" x14ac:dyDescent="0.15">
      <c r="A3" s="34" t="s">
        <v>111</v>
      </c>
      <c r="B3" s="34">
        <v>7</v>
      </c>
      <c r="C3" s="34" t="s">
        <v>110</v>
      </c>
      <c r="D3" s="34">
        <v>7</v>
      </c>
    </row>
    <row r="4" spans="1:4" x14ac:dyDescent="0.15">
      <c r="A4" s="34" t="s">
        <v>109</v>
      </c>
      <c r="B4" s="34">
        <v>6</v>
      </c>
      <c r="C4" s="34" t="s">
        <v>108</v>
      </c>
      <c r="D4" s="34">
        <v>6</v>
      </c>
    </row>
    <row r="5" spans="1:4" x14ac:dyDescent="0.15">
      <c r="A5" s="34" t="s">
        <v>107</v>
      </c>
      <c r="B5" s="34">
        <v>5</v>
      </c>
      <c r="C5" s="34" t="s">
        <v>106</v>
      </c>
      <c r="D5" s="34">
        <v>5</v>
      </c>
    </row>
    <row r="6" spans="1:4" x14ac:dyDescent="0.15">
      <c r="A6" s="34" t="s">
        <v>105</v>
      </c>
      <c r="B6" s="34">
        <v>4</v>
      </c>
      <c r="C6" s="34" t="s">
        <v>104</v>
      </c>
      <c r="D6" s="34">
        <v>4</v>
      </c>
    </row>
    <row r="7" spans="1:4" x14ac:dyDescent="0.15">
      <c r="A7" s="34" t="s">
        <v>103</v>
      </c>
      <c r="B7" s="34">
        <v>3</v>
      </c>
      <c r="C7" s="34" t="s">
        <v>102</v>
      </c>
      <c r="D7" s="34">
        <v>3</v>
      </c>
    </row>
    <row r="8" spans="1:4" x14ac:dyDescent="0.15">
      <c r="A8" s="34" t="s">
        <v>101</v>
      </c>
      <c r="B8" s="34">
        <v>2</v>
      </c>
      <c r="C8" s="34" t="s">
        <v>100</v>
      </c>
      <c r="D8" s="34">
        <v>2</v>
      </c>
    </row>
    <row r="9" spans="1:4" x14ac:dyDescent="0.15">
      <c r="A9" s="34" t="s">
        <v>99</v>
      </c>
      <c r="B9" s="34">
        <v>1</v>
      </c>
      <c r="C9" s="34" t="s">
        <v>98</v>
      </c>
      <c r="D9" s="34">
        <v>1</v>
      </c>
    </row>
    <row r="10" spans="1:4" x14ac:dyDescent="0.15">
      <c r="A10" s="34" t="s">
        <v>97</v>
      </c>
      <c r="B10" s="34">
        <v>0</v>
      </c>
      <c r="C10" s="34" t="s">
        <v>97</v>
      </c>
      <c r="D10" s="34">
        <v>0</v>
      </c>
    </row>
    <row r="11" spans="1:4" x14ac:dyDescent="0.15">
      <c r="A11" s="34" t="s">
        <v>96</v>
      </c>
      <c r="B11" s="34">
        <v>-1</v>
      </c>
      <c r="C11" s="34" t="s">
        <v>95</v>
      </c>
      <c r="D11" s="34">
        <v>-1</v>
      </c>
    </row>
    <row r="12" spans="1:4" x14ac:dyDescent="0.15">
      <c r="A12" s="34" t="s">
        <v>94</v>
      </c>
      <c r="B12" s="34">
        <v>-2</v>
      </c>
      <c r="C12" s="34" t="s">
        <v>93</v>
      </c>
      <c r="D12" s="34">
        <v>-2</v>
      </c>
    </row>
    <row r="13" spans="1:4" x14ac:dyDescent="0.15">
      <c r="A13" s="34" t="s">
        <v>92</v>
      </c>
      <c r="B13" s="34">
        <v>-3</v>
      </c>
      <c r="C13" s="34" t="s">
        <v>91</v>
      </c>
      <c r="D13" s="34">
        <v>-3</v>
      </c>
    </row>
    <row r="14" spans="1:4" x14ac:dyDescent="0.15">
      <c r="A14" s="34" t="s">
        <v>90</v>
      </c>
      <c r="B14" s="34">
        <v>-4</v>
      </c>
      <c r="C14" s="34" t="s">
        <v>89</v>
      </c>
      <c r="D14" s="34">
        <v>-4</v>
      </c>
    </row>
    <row r="15" spans="1:4" x14ac:dyDescent="0.15">
      <c r="A15" s="34" t="s">
        <v>86</v>
      </c>
      <c r="B15" s="34">
        <v>-5</v>
      </c>
      <c r="C15" s="34" t="s">
        <v>88</v>
      </c>
      <c r="D15" s="34">
        <v>-5</v>
      </c>
    </row>
    <row r="16" spans="1:4" x14ac:dyDescent="0.15">
      <c r="C16" s="34" t="s">
        <v>87</v>
      </c>
      <c r="D16" s="34">
        <v>-6</v>
      </c>
    </row>
    <row r="17" spans="1:4" x14ac:dyDescent="0.15">
      <c r="C17" s="34" t="s">
        <v>86</v>
      </c>
      <c r="D17" s="34">
        <v>-7</v>
      </c>
    </row>
    <row r="19" spans="1:4" x14ac:dyDescent="0.15">
      <c r="A19" s="34">
        <v>1950</v>
      </c>
      <c r="B19" s="34">
        <v>1</v>
      </c>
      <c r="D19" s="34">
        <v>1</v>
      </c>
    </row>
    <row r="20" spans="1:4" x14ac:dyDescent="0.15">
      <c r="A20" s="34">
        <v>1951</v>
      </c>
      <c r="B20" s="34">
        <v>1</v>
      </c>
      <c r="D20" s="34">
        <v>1</v>
      </c>
    </row>
    <row r="21" spans="1:4" x14ac:dyDescent="0.15">
      <c r="A21" s="34">
        <v>1952</v>
      </c>
      <c r="B21" s="34">
        <v>1</v>
      </c>
      <c r="D21" s="34">
        <v>1</v>
      </c>
    </row>
    <row r="22" spans="1:4" x14ac:dyDescent="0.15">
      <c r="A22" s="34">
        <v>1953</v>
      </c>
      <c r="B22" s="34">
        <v>1</v>
      </c>
      <c r="D22" s="34">
        <v>1</v>
      </c>
    </row>
    <row r="23" spans="1:4" x14ac:dyDescent="0.15">
      <c r="A23" s="34">
        <v>1954</v>
      </c>
      <c r="B23" s="34">
        <v>1</v>
      </c>
      <c r="D23" s="34">
        <v>1</v>
      </c>
    </row>
    <row r="24" spans="1:4" x14ac:dyDescent="0.15">
      <c r="A24" s="34">
        <v>1955</v>
      </c>
      <c r="B24" s="34">
        <v>1</v>
      </c>
      <c r="D24" s="34">
        <v>1</v>
      </c>
    </row>
    <row r="25" spans="1:4" x14ac:dyDescent="0.15">
      <c r="A25" s="34">
        <v>1956</v>
      </c>
      <c r="B25" s="34">
        <v>1</v>
      </c>
      <c r="D25" s="34">
        <v>1</v>
      </c>
    </row>
    <row r="26" spans="1:4" x14ac:dyDescent="0.15">
      <c r="A26" s="34">
        <v>1957</v>
      </c>
      <c r="B26" s="34">
        <v>1</v>
      </c>
      <c r="D26" s="34">
        <v>1</v>
      </c>
    </row>
    <row r="27" spans="1:4" x14ac:dyDescent="0.15">
      <c r="A27" s="34">
        <v>1958</v>
      </c>
      <c r="B27" s="34">
        <v>0</v>
      </c>
      <c r="D27" s="34">
        <v>0</v>
      </c>
    </row>
    <row r="28" spans="1:4" x14ac:dyDescent="0.15">
      <c r="A28" s="34">
        <v>1959</v>
      </c>
      <c r="B28" s="34">
        <v>0</v>
      </c>
      <c r="D28" s="34">
        <v>0</v>
      </c>
    </row>
    <row r="29" spans="1:4" x14ac:dyDescent="0.15">
      <c r="A29" s="34">
        <v>1960</v>
      </c>
      <c r="B29" s="34">
        <v>0</v>
      </c>
      <c r="D29" s="34">
        <v>0</v>
      </c>
    </row>
    <row r="30" spans="1:4" x14ac:dyDescent="0.15">
      <c r="A30" s="34">
        <v>1961</v>
      </c>
      <c r="B30" s="34">
        <v>0</v>
      </c>
      <c r="D30" s="34">
        <v>0</v>
      </c>
    </row>
    <row r="31" spans="1:4" x14ac:dyDescent="0.15">
      <c r="A31" s="34">
        <v>1962</v>
      </c>
      <c r="B31" s="34">
        <v>0</v>
      </c>
      <c r="D31" s="34">
        <v>0</v>
      </c>
    </row>
    <row r="32" spans="1:4" x14ac:dyDescent="0.15">
      <c r="A32" s="34">
        <v>1963</v>
      </c>
      <c r="B32" s="34">
        <v>0</v>
      </c>
      <c r="D32" s="34">
        <v>0</v>
      </c>
    </row>
    <row r="33" spans="1:4" x14ac:dyDescent="0.15">
      <c r="A33" s="34">
        <v>1964</v>
      </c>
      <c r="B33" s="34">
        <v>0</v>
      </c>
      <c r="D33" s="34">
        <v>0</v>
      </c>
    </row>
    <row r="34" spans="1:4" x14ac:dyDescent="0.15">
      <c r="A34" s="34">
        <v>1965</v>
      </c>
      <c r="B34" s="34">
        <v>0</v>
      </c>
      <c r="D34" s="34">
        <v>0</v>
      </c>
    </row>
    <row r="35" spans="1:4" x14ac:dyDescent="0.15">
      <c r="A35" s="34">
        <v>1966</v>
      </c>
      <c r="B35" s="34">
        <v>0</v>
      </c>
      <c r="D35" s="34">
        <v>0</v>
      </c>
    </row>
    <row r="36" spans="1:4" x14ac:dyDescent="0.15">
      <c r="A36" s="34">
        <v>1967</v>
      </c>
      <c r="B36" s="34">
        <v>-1</v>
      </c>
      <c r="D36" s="34">
        <v>-1</v>
      </c>
    </row>
    <row r="37" spans="1:4" x14ac:dyDescent="0.15">
      <c r="A37" s="34">
        <v>1968</v>
      </c>
      <c r="B37" s="34">
        <v>-1</v>
      </c>
      <c r="D37" s="34">
        <v>-1</v>
      </c>
    </row>
    <row r="38" spans="1:4" x14ac:dyDescent="0.15">
      <c r="A38" s="34">
        <v>1969</v>
      </c>
      <c r="B38" s="34">
        <v>-1</v>
      </c>
      <c r="D38" s="34">
        <v>-1</v>
      </c>
    </row>
    <row r="39" spans="1:4" x14ac:dyDescent="0.15">
      <c r="A39" s="34">
        <v>1970</v>
      </c>
      <c r="B39" s="34">
        <v>-1</v>
      </c>
      <c r="D39" s="34">
        <v>-1</v>
      </c>
    </row>
    <row r="40" spans="1:4" x14ac:dyDescent="0.15">
      <c r="A40" s="34">
        <v>1971</v>
      </c>
      <c r="B40" s="34">
        <v>-1</v>
      </c>
      <c r="D40" s="34">
        <v>-1</v>
      </c>
    </row>
    <row r="41" spans="1:4" x14ac:dyDescent="0.15">
      <c r="A41" s="34">
        <v>1972</v>
      </c>
      <c r="B41" s="34">
        <v>-1</v>
      </c>
      <c r="D41" s="34">
        <v>-1</v>
      </c>
    </row>
    <row r="42" spans="1:4" x14ac:dyDescent="0.15">
      <c r="A42" s="34">
        <v>1973</v>
      </c>
      <c r="B42" s="34">
        <v>-1</v>
      </c>
      <c r="D42" s="34">
        <v>-1</v>
      </c>
    </row>
    <row r="43" spans="1:4" x14ac:dyDescent="0.15">
      <c r="A43" s="34">
        <v>1974</v>
      </c>
      <c r="B43" s="34">
        <v>-1</v>
      </c>
      <c r="D43" s="34">
        <v>-1</v>
      </c>
    </row>
    <row r="44" spans="1:4" x14ac:dyDescent="0.15">
      <c r="A44" s="34">
        <v>1975</v>
      </c>
      <c r="B44" s="34">
        <v>-1</v>
      </c>
      <c r="D44" s="34">
        <v>-1</v>
      </c>
    </row>
    <row r="45" spans="1:4" x14ac:dyDescent="0.15">
      <c r="A45" s="34">
        <v>1976</v>
      </c>
      <c r="B45" s="34">
        <v>-1</v>
      </c>
      <c r="D45" s="34">
        <v>-1</v>
      </c>
    </row>
    <row r="46" spans="1:4" x14ac:dyDescent="0.15">
      <c r="A46" s="34">
        <v>1977</v>
      </c>
      <c r="B46" s="34">
        <v>-1</v>
      </c>
      <c r="D46" s="34">
        <v>-2</v>
      </c>
    </row>
    <row r="47" spans="1:4" x14ac:dyDescent="0.15">
      <c r="A47" s="34">
        <v>1978</v>
      </c>
      <c r="B47" s="34">
        <v>-1</v>
      </c>
      <c r="D47" s="34">
        <v>-2</v>
      </c>
    </row>
    <row r="48" spans="1:4" x14ac:dyDescent="0.15">
      <c r="A48" s="34">
        <v>1979</v>
      </c>
      <c r="B48" s="34">
        <v>-2</v>
      </c>
      <c r="D48" s="34">
        <v>-2</v>
      </c>
    </row>
    <row r="49" spans="1:4" x14ac:dyDescent="0.15">
      <c r="A49" s="34">
        <v>1980</v>
      </c>
      <c r="B49" s="34">
        <v>-2</v>
      </c>
      <c r="D49" s="34">
        <v>-2</v>
      </c>
    </row>
    <row r="50" spans="1:4" x14ac:dyDescent="0.15">
      <c r="A50" s="34">
        <v>1981</v>
      </c>
      <c r="B50" s="34">
        <v>-2</v>
      </c>
      <c r="D50" s="34">
        <v>-2</v>
      </c>
    </row>
    <row r="51" spans="1:4" x14ac:dyDescent="0.15">
      <c r="A51" s="34">
        <v>1982</v>
      </c>
      <c r="B51" s="34">
        <v>-2</v>
      </c>
      <c r="D51" s="34">
        <v>-2</v>
      </c>
    </row>
    <row r="52" spans="1:4" x14ac:dyDescent="0.15">
      <c r="A52" s="34">
        <v>1983</v>
      </c>
      <c r="B52" s="34">
        <v>-2</v>
      </c>
      <c r="D52" s="34">
        <v>-2</v>
      </c>
    </row>
    <row r="53" spans="1:4" x14ac:dyDescent="0.15">
      <c r="A53" s="34">
        <v>1984</v>
      </c>
      <c r="B53" s="34">
        <v>-2</v>
      </c>
      <c r="D53" s="34">
        <v>-2</v>
      </c>
    </row>
    <row r="54" spans="1:4" x14ac:dyDescent="0.15">
      <c r="A54" s="34">
        <v>1985</v>
      </c>
      <c r="B54" s="34">
        <v>-2</v>
      </c>
      <c r="D54" s="34">
        <v>-2</v>
      </c>
    </row>
    <row r="55" spans="1:4" x14ac:dyDescent="0.15">
      <c r="A55" s="34">
        <v>1986</v>
      </c>
      <c r="B55" s="34">
        <v>-2</v>
      </c>
      <c r="D55" s="34">
        <v>-2</v>
      </c>
    </row>
    <row r="56" spans="1:4" x14ac:dyDescent="0.15">
      <c r="A56" s="34">
        <v>1987</v>
      </c>
      <c r="B56" s="34">
        <v>-2</v>
      </c>
      <c r="D56" s="34">
        <v>-3</v>
      </c>
    </row>
    <row r="57" spans="1:4" x14ac:dyDescent="0.15">
      <c r="A57" s="34">
        <v>1988</v>
      </c>
      <c r="B57" s="34">
        <v>-2</v>
      </c>
      <c r="D57" s="34">
        <v>-3</v>
      </c>
    </row>
    <row r="58" spans="1:4" x14ac:dyDescent="0.15">
      <c r="A58" s="34">
        <v>1989</v>
      </c>
      <c r="B58" s="34">
        <v>-2</v>
      </c>
      <c r="D58" s="34">
        <v>-3</v>
      </c>
    </row>
    <row r="59" spans="1:4" x14ac:dyDescent="0.15">
      <c r="A59" s="34">
        <v>1990</v>
      </c>
      <c r="B59" s="34">
        <v>-2</v>
      </c>
      <c r="D59" s="34">
        <v>-3</v>
      </c>
    </row>
    <row r="60" spans="1:4" x14ac:dyDescent="0.15">
      <c r="A60" s="34">
        <v>1991</v>
      </c>
      <c r="B60" s="34">
        <v>-2</v>
      </c>
      <c r="D60" s="34">
        <v>-3</v>
      </c>
    </row>
    <row r="61" spans="1:4" x14ac:dyDescent="0.15">
      <c r="A61" s="34">
        <v>1992</v>
      </c>
      <c r="B61" s="34">
        <v>-2</v>
      </c>
      <c r="D61" s="34">
        <v>-3</v>
      </c>
    </row>
    <row r="62" spans="1:4" x14ac:dyDescent="0.15">
      <c r="A62" s="34">
        <v>1993</v>
      </c>
      <c r="B62" s="34">
        <v>-3</v>
      </c>
      <c r="D62" s="34">
        <v>-3</v>
      </c>
    </row>
    <row r="63" spans="1:4" x14ac:dyDescent="0.15">
      <c r="A63" s="34">
        <v>1994</v>
      </c>
      <c r="B63" s="34">
        <v>-3</v>
      </c>
      <c r="D63" s="34">
        <v>-3</v>
      </c>
    </row>
    <row r="64" spans="1:4" x14ac:dyDescent="0.15">
      <c r="A64" s="34">
        <v>1995</v>
      </c>
      <c r="B64" s="34">
        <v>-3</v>
      </c>
      <c r="D64" s="34">
        <v>-3</v>
      </c>
    </row>
    <row r="65" spans="1:4" x14ac:dyDescent="0.15">
      <c r="A65" s="34">
        <v>1996</v>
      </c>
      <c r="B65" s="34">
        <v>-3</v>
      </c>
      <c r="D65" s="34">
        <v>-3</v>
      </c>
    </row>
    <row r="66" spans="1:4" x14ac:dyDescent="0.15">
      <c r="A66" s="34">
        <v>1997</v>
      </c>
      <c r="B66" s="34">
        <v>-3</v>
      </c>
      <c r="D66" s="34">
        <v>-4</v>
      </c>
    </row>
    <row r="67" spans="1:4" x14ac:dyDescent="0.15">
      <c r="A67" s="34">
        <v>1998</v>
      </c>
      <c r="B67" s="34">
        <v>-3</v>
      </c>
      <c r="D67" s="34">
        <v>-4</v>
      </c>
    </row>
    <row r="68" spans="1:4" x14ac:dyDescent="0.15">
      <c r="A68" s="34">
        <v>1999</v>
      </c>
      <c r="B68" s="34">
        <v>-3</v>
      </c>
      <c r="D68" s="34">
        <v>-4</v>
      </c>
    </row>
    <row r="69" spans="1:4" x14ac:dyDescent="0.15">
      <c r="A69" s="34">
        <v>2000</v>
      </c>
      <c r="B69" s="34">
        <v>-3</v>
      </c>
      <c r="D69" s="34">
        <v>-4</v>
      </c>
    </row>
  </sheetData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/>
  <headerFooter>
    <oddHeader>&amp;C&amp;A</oddHeader>
    <oddFooter>&amp;CPage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CF953-8379-CD4E-A375-46F4817E4C72}">
  <dimension ref="A1:L34"/>
  <sheetViews>
    <sheetView zoomScale="85" zoomScaleNormal="85" workbookViewId="0">
      <selection activeCell="A26" sqref="A26"/>
    </sheetView>
  </sheetViews>
  <sheetFormatPr baseColWidth="10" defaultColWidth="11.5" defaultRowHeight="13" x14ac:dyDescent="0.15"/>
  <cols>
    <col min="1" max="16384" width="11.5" style="34"/>
  </cols>
  <sheetData>
    <row r="1" spans="1:12" x14ac:dyDescent="0.15">
      <c r="A1" s="36" t="s">
        <v>122</v>
      </c>
    </row>
    <row r="2" spans="1:12" x14ac:dyDescent="0.15">
      <c r="A2" s="36"/>
      <c r="B2" s="34" t="s">
        <v>121</v>
      </c>
      <c r="H2" s="34" t="s">
        <v>120</v>
      </c>
    </row>
    <row r="3" spans="1:12" x14ac:dyDescent="0.15">
      <c r="A3" s="35"/>
      <c r="B3" s="34" t="s">
        <v>119</v>
      </c>
      <c r="C3" s="34" t="s">
        <v>118</v>
      </c>
      <c r="D3" s="34" t="s">
        <v>117</v>
      </c>
      <c r="E3" s="34" t="s">
        <v>116</v>
      </c>
      <c r="F3" s="34" t="s">
        <v>115</v>
      </c>
      <c r="H3" s="34" t="s">
        <v>119</v>
      </c>
      <c r="I3" s="34" t="s">
        <v>118</v>
      </c>
      <c r="J3" s="34" t="s">
        <v>117</v>
      </c>
      <c r="K3" s="34" t="s">
        <v>116</v>
      </c>
      <c r="L3" s="34" t="s">
        <v>115</v>
      </c>
    </row>
    <row r="4" spans="1:12" x14ac:dyDescent="0.15">
      <c r="A4" s="34">
        <v>50</v>
      </c>
      <c r="B4" s="34">
        <v>25.997340000000001</v>
      </c>
      <c r="C4" s="34">
        <v>25.827269999999999</v>
      </c>
      <c r="D4" s="34">
        <v>25.743069999999999</v>
      </c>
      <c r="E4" s="34">
        <v>25.715119999999999</v>
      </c>
      <c r="F4" s="34">
        <v>25.687239999999999</v>
      </c>
      <c r="H4" s="34">
        <v>23.51052</v>
      </c>
      <c r="I4" s="34">
        <v>23.37135</v>
      </c>
      <c r="J4" s="34">
        <v>23.30237</v>
      </c>
      <c r="K4" s="34">
        <v>23.27947</v>
      </c>
      <c r="L4" s="34">
        <v>23.256620000000002</v>
      </c>
    </row>
    <row r="5" spans="1:12" x14ac:dyDescent="0.15">
      <c r="A5" s="34">
        <v>51</v>
      </c>
      <c r="B5" s="34">
        <v>26.665659999999999</v>
      </c>
      <c r="C5" s="34">
        <v>26.48676</v>
      </c>
      <c r="D5" s="34">
        <v>26.398209999999999</v>
      </c>
      <c r="E5" s="34">
        <v>26.368819999999999</v>
      </c>
      <c r="F5" s="34">
        <v>26.339500000000001</v>
      </c>
      <c r="H5" s="34">
        <v>24.059709999999999</v>
      </c>
      <c r="I5" s="34">
        <v>23.913969999999999</v>
      </c>
      <c r="J5" s="34">
        <v>23.84177</v>
      </c>
      <c r="K5" s="34">
        <v>23.817789999999999</v>
      </c>
      <c r="L5" s="34">
        <v>23.793869999999998</v>
      </c>
    </row>
    <row r="6" spans="1:12" x14ac:dyDescent="0.15">
      <c r="A6" s="34">
        <v>52</v>
      </c>
      <c r="B6" s="34">
        <v>27.36741</v>
      </c>
      <c r="C6" s="34">
        <v>27.179010000000002</v>
      </c>
      <c r="D6" s="34">
        <v>27.08577</v>
      </c>
      <c r="E6" s="34">
        <v>27.054839999999999</v>
      </c>
      <c r="F6" s="34">
        <v>27.023969999999998</v>
      </c>
      <c r="H6" s="34">
        <v>24.63382</v>
      </c>
      <c r="I6" s="34">
        <v>24.481069999999999</v>
      </c>
      <c r="J6" s="34">
        <v>24.4054</v>
      </c>
      <c r="K6" s="34">
        <v>24.380279999999999</v>
      </c>
      <c r="L6" s="34">
        <v>24.355219999999999</v>
      </c>
    </row>
    <row r="7" spans="1:12" x14ac:dyDescent="0.15">
      <c r="A7" s="34">
        <v>53</v>
      </c>
      <c r="B7" s="34">
        <v>28.104970000000002</v>
      </c>
      <c r="C7" s="34">
        <v>27.906320000000001</v>
      </c>
      <c r="D7" s="34">
        <v>27.808039999999998</v>
      </c>
      <c r="E7" s="34">
        <v>27.77543</v>
      </c>
      <c r="F7" s="34">
        <v>27.742899999999999</v>
      </c>
      <c r="H7" s="34">
        <v>25.234500000000001</v>
      </c>
      <c r="I7" s="34">
        <v>25.07423</v>
      </c>
      <c r="J7" s="34">
        <v>24.994859999999999</v>
      </c>
      <c r="K7" s="34">
        <v>24.968509999999998</v>
      </c>
      <c r="L7" s="34">
        <v>24.942219999999999</v>
      </c>
    </row>
    <row r="8" spans="1:12" x14ac:dyDescent="0.15">
      <c r="A8" s="34">
        <v>54</v>
      </c>
      <c r="B8" s="34">
        <v>28.880400000000002</v>
      </c>
      <c r="C8" s="34">
        <v>28.670670000000001</v>
      </c>
      <c r="D8" s="34">
        <v>28.566939999999999</v>
      </c>
      <c r="E8" s="34">
        <v>28.532530000000001</v>
      </c>
      <c r="F8" s="34">
        <v>28.498200000000001</v>
      </c>
      <c r="H8" s="34">
        <v>25.863669999999999</v>
      </c>
      <c r="I8" s="34">
        <v>25.695340000000002</v>
      </c>
      <c r="J8" s="34">
        <v>25.611989999999999</v>
      </c>
      <c r="K8" s="34">
        <v>25.584330000000001</v>
      </c>
      <c r="L8" s="34">
        <v>25.556730000000002</v>
      </c>
    </row>
    <row r="9" spans="1:12" x14ac:dyDescent="0.15">
      <c r="A9" s="34">
        <v>55</v>
      </c>
      <c r="B9" s="34">
        <v>29.696480000000001</v>
      </c>
      <c r="C9" s="34">
        <v>29.474779999999999</v>
      </c>
      <c r="D9" s="34">
        <v>29.365159999999999</v>
      </c>
      <c r="E9" s="34">
        <v>29.328800000000001</v>
      </c>
      <c r="F9" s="34">
        <v>29.292539999999999</v>
      </c>
      <c r="H9" s="34">
        <v>26.523499999999999</v>
      </c>
      <c r="I9" s="34">
        <v>26.346489999999999</v>
      </c>
      <c r="J9" s="34">
        <v>26.258880000000001</v>
      </c>
      <c r="K9" s="34">
        <v>26.229800000000001</v>
      </c>
      <c r="L9" s="34">
        <v>26.200790000000001</v>
      </c>
    </row>
    <row r="10" spans="1:12" x14ac:dyDescent="0.15">
      <c r="A10" s="34">
        <v>56</v>
      </c>
      <c r="B10" s="34">
        <v>30.5565</v>
      </c>
      <c r="C10" s="34">
        <v>30.321809999999999</v>
      </c>
      <c r="D10" s="34">
        <v>30.205819999999999</v>
      </c>
      <c r="E10" s="34">
        <v>30.167349999999999</v>
      </c>
      <c r="F10" s="34">
        <v>30.128979999999999</v>
      </c>
      <c r="H10" s="34">
        <v>27.217269999999999</v>
      </c>
      <c r="I10" s="34">
        <v>27.030919999999998</v>
      </c>
      <c r="J10" s="34">
        <v>26.938700000000001</v>
      </c>
      <c r="K10" s="34">
        <v>26.908100000000001</v>
      </c>
      <c r="L10" s="34">
        <v>26.877569999999999</v>
      </c>
    </row>
    <row r="11" spans="1:12" x14ac:dyDescent="0.15">
      <c r="A11" s="34">
        <v>57</v>
      </c>
      <c r="B11" s="34">
        <v>31.464300000000001</v>
      </c>
      <c r="C11" s="34">
        <v>31.215520000000001</v>
      </c>
      <c r="D11" s="34">
        <v>31.092600000000001</v>
      </c>
      <c r="E11" s="34">
        <v>31.051839999999999</v>
      </c>
      <c r="F11" s="34">
        <v>31.011189999999999</v>
      </c>
      <c r="H11" s="34">
        <v>27.947959999999998</v>
      </c>
      <c r="I11" s="34">
        <v>27.75151</v>
      </c>
      <c r="J11" s="34">
        <v>27.654309999999999</v>
      </c>
      <c r="K11" s="34">
        <v>27.622070000000001</v>
      </c>
      <c r="L11" s="34">
        <v>27.5899</v>
      </c>
    </row>
    <row r="12" spans="1:12" x14ac:dyDescent="0.15">
      <c r="A12" s="34">
        <v>58</v>
      </c>
      <c r="B12" s="34">
        <v>32.42407</v>
      </c>
      <c r="C12" s="34">
        <v>32.159950000000002</v>
      </c>
      <c r="D12" s="34">
        <v>32.029499999999999</v>
      </c>
      <c r="E12" s="34">
        <v>31.986249999999998</v>
      </c>
      <c r="F12" s="34">
        <v>31.943110000000001</v>
      </c>
      <c r="H12" s="34">
        <v>28.718869999999999</v>
      </c>
      <c r="I12" s="34">
        <v>28.511469999999999</v>
      </c>
      <c r="J12" s="34">
        <v>28.40889</v>
      </c>
      <c r="K12" s="34">
        <v>28.374860000000002</v>
      </c>
      <c r="L12" s="34">
        <v>28.340910000000001</v>
      </c>
    </row>
    <row r="13" spans="1:12" x14ac:dyDescent="0.15">
      <c r="A13" s="34">
        <v>59</v>
      </c>
      <c r="B13" s="34">
        <v>33.440649999999998</v>
      </c>
      <c r="C13" s="34">
        <v>33.159779999999998</v>
      </c>
      <c r="D13" s="34">
        <v>33.021099999999997</v>
      </c>
      <c r="E13" s="34">
        <v>32.97513</v>
      </c>
      <c r="F13" s="34">
        <v>32.929299999999998</v>
      </c>
      <c r="H13" s="34">
        <v>29.53378</v>
      </c>
      <c r="I13" s="34">
        <v>29.314489999999999</v>
      </c>
      <c r="J13" s="34">
        <v>29.206060000000001</v>
      </c>
      <c r="K13" s="34">
        <v>29.170089999999998</v>
      </c>
      <c r="L13" s="34">
        <v>29.134219999999999</v>
      </c>
    </row>
    <row r="14" spans="1:12" x14ac:dyDescent="0.15">
      <c r="A14" s="34">
        <v>60</v>
      </c>
      <c r="B14" s="34">
        <v>34.518619999999999</v>
      </c>
      <c r="C14" s="34">
        <v>34.219430000000003</v>
      </c>
      <c r="D14" s="34">
        <v>34.071770000000001</v>
      </c>
      <c r="E14" s="34">
        <v>34.022829999999999</v>
      </c>
      <c r="F14" s="34">
        <v>33.974029999999999</v>
      </c>
      <c r="H14" s="34">
        <v>30.39602</v>
      </c>
      <c r="I14" s="34">
        <v>30.163789999999999</v>
      </c>
      <c r="J14" s="34">
        <v>30.048999999999999</v>
      </c>
      <c r="K14" s="34">
        <v>30.010929999999998</v>
      </c>
      <c r="L14" s="34">
        <v>29.97296</v>
      </c>
    </row>
    <row r="15" spans="1:12" x14ac:dyDescent="0.15">
      <c r="A15" s="34">
        <v>61</v>
      </c>
      <c r="B15" s="34">
        <v>35.662430000000001</v>
      </c>
      <c r="C15" s="34">
        <v>35.343170000000001</v>
      </c>
      <c r="D15" s="34">
        <v>35.185679999999998</v>
      </c>
      <c r="E15" s="34">
        <v>35.133490000000002</v>
      </c>
      <c r="F15" s="34">
        <v>35.08146</v>
      </c>
      <c r="H15" s="34">
        <v>31.309850000000001</v>
      </c>
      <c r="I15" s="34">
        <v>31.063500000000001</v>
      </c>
      <c r="J15" s="34">
        <v>30.941770000000002</v>
      </c>
      <c r="K15" s="34">
        <v>30.901409999999998</v>
      </c>
      <c r="L15" s="34">
        <v>30.861149999999999</v>
      </c>
    </row>
    <row r="16" spans="1:12" x14ac:dyDescent="0.15">
      <c r="A16" s="34">
        <v>62</v>
      </c>
      <c r="B16" s="34">
        <v>36.87527</v>
      </c>
      <c r="C16" s="34">
        <v>36.534030000000001</v>
      </c>
      <c r="D16" s="34">
        <v>36.365769999999998</v>
      </c>
      <c r="E16" s="34">
        <v>36.310029999999998</v>
      </c>
      <c r="F16" s="34">
        <v>36.254449999999999</v>
      </c>
      <c r="H16" s="34">
        <v>32.281799999999997</v>
      </c>
      <c r="I16" s="34">
        <v>32.019979999999997</v>
      </c>
      <c r="J16" s="34">
        <v>31.89066</v>
      </c>
      <c r="K16" s="34">
        <v>31.84778</v>
      </c>
      <c r="L16" s="34">
        <v>31.805019999999999</v>
      </c>
    </row>
    <row r="17" spans="1:12" x14ac:dyDescent="0.15">
      <c r="A17" s="34">
        <v>63</v>
      </c>
      <c r="B17" s="34">
        <v>38.161819999999999</v>
      </c>
      <c r="C17" s="34">
        <v>37.796480000000003</v>
      </c>
      <c r="D17" s="34">
        <v>36.616419999999998</v>
      </c>
      <c r="E17" s="34">
        <v>37.556780000000003</v>
      </c>
      <c r="F17" s="34">
        <v>37.497329999999998</v>
      </c>
      <c r="H17" s="34">
        <v>33.316899999999997</v>
      </c>
      <c r="I17" s="34">
        <v>33.038089999999997</v>
      </c>
      <c r="J17" s="34">
        <v>32.90043</v>
      </c>
      <c r="K17" s="34">
        <v>32.854799999999997</v>
      </c>
      <c r="L17" s="34">
        <v>32.809289999999997</v>
      </c>
    </row>
    <row r="18" spans="1:12" x14ac:dyDescent="0.15">
      <c r="A18" s="34">
        <v>64</v>
      </c>
      <c r="B18" s="34">
        <v>39.52711</v>
      </c>
      <c r="C18" s="34">
        <v>39.135289999999998</v>
      </c>
      <c r="D18" s="34">
        <v>38.942279999999997</v>
      </c>
      <c r="E18" s="34">
        <v>38.878360000000001</v>
      </c>
      <c r="F18" s="34">
        <v>38.814660000000003</v>
      </c>
      <c r="H18" s="34">
        <v>34.420569999999998</v>
      </c>
      <c r="I18" s="34">
        <v>34.123069999999998</v>
      </c>
      <c r="J18" s="34">
        <v>33.976239999999997</v>
      </c>
      <c r="K18" s="34">
        <v>33.927579999999999</v>
      </c>
      <c r="L18" s="34">
        <v>33.879049999999999</v>
      </c>
    </row>
    <row r="19" spans="1:12" x14ac:dyDescent="0.15">
      <c r="A19" s="34">
        <v>65</v>
      </c>
      <c r="B19" s="34">
        <v>40.985460000000003</v>
      </c>
      <c r="C19" s="34">
        <v>40.564349999999997</v>
      </c>
      <c r="D19" s="34">
        <v>40.357019999999999</v>
      </c>
      <c r="E19" s="34">
        <v>40.288379999999997</v>
      </c>
      <c r="F19" s="34">
        <v>40.219970000000004</v>
      </c>
      <c r="H19" s="34">
        <v>35.599159999999998</v>
      </c>
      <c r="I19" s="34">
        <v>35.281030000000001</v>
      </c>
      <c r="J19" s="34">
        <v>35.124090000000002</v>
      </c>
      <c r="K19" s="34">
        <v>35.072090000000003</v>
      </c>
      <c r="L19" s="34">
        <v>35.020240000000001</v>
      </c>
    </row>
    <row r="20" spans="1:12" x14ac:dyDescent="0.15">
      <c r="A20" s="34">
        <v>66</v>
      </c>
      <c r="B20" s="34">
        <v>42.549120000000002</v>
      </c>
      <c r="C20" s="34">
        <v>42.09545</v>
      </c>
      <c r="D20" s="34">
        <v>41.872210000000003</v>
      </c>
      <c r="E20" s="34">
        <v>41.79833</v>
      </c>
      <c r="F20" s="34">
        <v>41.724710000000002</v>
      </c>
      <c r="H20" s="34">
        <v>36.860120000000002</v>
      </c>
      <c r="I20" s="34">
        <v>36.519170000000003</v>
      </c>
      <c r="J20" s="34">
        <v>36.351039999999998</v>
      </c>
      <c r="K20" s="34">
        <v>36.295340000000003</v>
      </c>
      <c r="L20" s="34">
        <v>36.239820000000002</v>
      </c>
    </row>
    <row r="21" spans="1:12" x14ac:dyDescent="0.15">
      <c r="A21" s="34">
        <v>67</v>
      </c>
      <c r="B21" s="34">
        <v>44.22795</v>
      </c>
      <c r="C21" s="34">
        <v>43.737969999999997</v>
      </c>
      <c r="D21" s="34">
        <v>43.497030000000002</v>
      </c>
      <c r="E21" s="34">
        <v>43.417310000000001</v>
      </c>
      <c r="F21" s="34">
        <v>43.337870000000002</v>
      </c>
      <c r="H21" s="34">
        <v>38.211739999999999</v>
      </c>
      <c r="I21" s="34">
        <v>37.84545</v>
      </c>
      <c r="J21" s="34">
        <v>37.664920000000002</v>
      </c>
      <c r="K21" s="34">
        <v>37.605130000000003</v>
      </c>
      <c r="L21" s="34">
        <v>37.545520000000003</v>
      </c>
    </row>
    <row r="22" spans="1:12" x14ac:dyDescent="0.15">
      <c r="A22" s="34">
        <v>68</v>
      </c>
      <c r="B22" s="34">
        <v>46.034289999999999</v>
      </c>
      <c r="C22" s="34">
        <v>45.503709999999998</v>
      </c>
      <c r="D22" s="34">
        <v>45.242980000000003</v>
      </c>
      <c r="E22" s="34">
        <v>45.156730000000003</v>
      </c>
      <c r="F22" s="34">
        <v>45.070819999999998</v>
      </c>
      <c r="H22" s="34">
        <v>39.663629999999998</v>
      </c>
      <c r="I22" s="34">
        <v>39.269109999999998</v>
      </c>
      <c r="J22" s="34">
        <v>39.074779999999997</v>
      </c>
      <c r="K22" s="34">
        <v>39.010429999999999</v>
      </c>
      <c r="L22" s="34">
        <v>38.946289999999998</v>
      </c>
    </row>
    <row r="23" spans="1:12" x14ac:dyDescent="0.15">
      <c r="A23" s="34">
        <v>69</v>
      </c>
      <c r="B23" s="34">
        <v>47.983040000000003</v>
      </c>
      <c r="C23" s="34">
        <v>47.406869999999998</v>
      </c>
      <c r="D23" s="34">
        <v>47.123939999999997</v>
      </c>
      <c r="E23" s="34">
        <v>47.030380000000001</v>
      </c>
      <c r="F23" s="34">
        <v>46.937190000000001</v>
      </c>
      <c r="H23" s="34">
        <v>41.226210000000002</v>
      </c>
      <c r="I23" s="34">
        <v>40.800159999999998</v>
      </c>
      <c r="J23" s="34">
        <v>40.590420000000002</v>
      </c>
      <c r="K23" s="34">
        <v>40.520989999999998</v>
      </c>
      <c r="L23" s="34">
        <v>40.451790000000003</v>
      </c>
    </row>
    <row r="24" spans="1:12" x14ac:dyDescent="0.15">
      <c r="A24" s="34">
        <v>70</v>
      </c>
      <c r="B24" s="34">
        <v>50.08961</v>
      </c>
      <c r="C24" s="34">
        <v>49.462069999999997</v>
      </c>
      <c r="D24" s="34">
        <v>49.154159999999997</v>
      </c>
      <c r="E24" s="34">
        <v>49.052370000000003</v>
      </c>
      <c r="F24" s="34">
        <v>48.951009999999997</v>
      </c>
      <c r="H24" s="34">
        <v>42.911140000000003</v>
      </c>
      <c r="I24" s="34">
        <v>42.449750000000002</v>
      </c>
      <c r="J24" s="34">
        <v>42.222749999999998</v>
      </c>
      <c r="K24" s="34">
        <v>42.147629999999999</v>
      </c>
      <c r="L24" s="34">
        <v>42.072769999999998</v>
      </c>
    </row>
    <row r="25" spans="1:12" x14ac:dyDescent="0.15">
      <c r="A25" s="34">
        <v>71</v>
      </c>
      <c r="B25" s="34">
        <v>52.371009999999998</v>
      </c>
      <c r="C25" s="34">
        <v>51.685389999999998</v>
      </c>
      <c r="D25" s="34">
        <v>51.349269999999997</v>
      </c>
      <c r="E25" s="34">
        <v>51.238199999999999</v>
      </c>
      <c r="F25" s="34">
        <v>51.127609999999997</v>
      </c>
      <c r="H25" s="34">
        <v>44.731290000000001</v>
      </c>
      <c r="I25" s="34">
        <v>44.230159999999998</v>
      </c>
      <c r="J25" s="34">
        <v>43.983780000000003</v>
      </c>
      <c r="K25" s="34">
        <v>43.902259999999998</v>
      </c>
      <c r="L25" s="34">
        <v>43.821040000000004</v>
      </c>
    </row>
    <row r="26" spans="1:12" x14ac:dyDescent="0.15">
      <c r="A26" s="34">
        <v>72</v>
      </c>
      <c r="B26" s="34">
        <v>54.846040000000002</v>
      </c>
      <c r="C26" s="34">
        <v>54.094560000000001</v>
      </c>
      <c r="D26" s="34">
        <v>53.726480000000002</v>
      </c>
      <c r="E26" s="34">
        <v>53.604900000000001</v>
      </c>
      <c r="F26" s="34">
        <v>53.483870000000003</v>
      </c>
      <c r="H26" s="34">
        <v>46.70187</v>
      </c>
      <c r="I26" s="34">
        <v>46.155880000000003</v>
      </c>
      <c r="J26" s="34">
        <v>45.887650000000001</v>
      </c>
      <c r="K26" s="34">
        <v>45.798929999999999</v>
      </c>
      <c r="L26" s="34">
        <v>45.710549999999998</v>
      </c>
    </row>
    <row r="27" spans="1:12" x14ac:dyDescent="0.15">
      <c r="A27" s="34">
        <v>73</v>
      </c>
      <c r="B27" s="34">
        <v>57.532119999999999</v>
      </c>
      <c r="C27" s="34">
        <v>56.705779999999997</v>
      </c>
      <c r="D27" s="34">
        <v>56.301450000000003</v>
      </c>
      <c r="E27" s="34">
        <v>56.167949999999998</v>
      </c>
      <c r="F27" s="34">
        <v>56.035080000000001</v>
      </c>
      <c r="H27" s="34">
        <v>48.83896</v>
      </c>
      <c r="I27" s="34">
        <v>48.242170000000002</v>
      </c>
      <c r="J27" s="34">
        <v>47.949219999999997</v>
      </c>
      <c r="K27" s="34">
        <v>47.852359999999997</v>
      </c>
      <c r="L27" s="34">
        <v>47.755879999999998</v>
      </c>
    </row>
    <row r="28" spans="1:12" x14ac:dyDescent="0.15">
      <c r="A28" s="34">
        <v>74</v>
      </c>
      <c r="B28" s="34">
        <v>60.45176</v>
      </c>
      <c r="C28" s="34">
        <v>59.540080000000003</v>
      </c>
      <c r="D28" s="34">
        <v>59.094470000000001</v>
      </c>
      <c r="E28" s="34">
        <v>58.947420000000001</v>
      </c>
      <c r="F28" s="34">
        <v>58.801090000000002</v>
      </c>
      <c r="H28" s="34">
        <v>51.160690000000002</v>
      </c>
      <c r="I28" s="34">
        <v>50.5062</v>
      </c>
      <c r="J28" s="34">
        <v>50.185200000000002</v>
      </c>
      <c r="K28" s="34">
        <v>50.079099999999997</v>
      </c>
      <c r="L28" s="34">
        <v>49.97345</v>
      </c>
    </row>
    <row r="29" spans="1:12" x14ac:dyDescent="0.15">
      <c r="A29" s="34">
        <v>75</v>
      </c>
      <c r="B29" s="34">
        <v>63.630569999999999</v>
      </c>
      <c r="C29" s="34">
        <v>62.621290000000002</v>
      </c>
      <c r="D29" s="34">
        <v>62.128570000000003</v>
      </c>
      <c r="E29" s="34">
        <v>61.96604</v>
      </c>
      <c r="F29" s="34">
        <v>61.804369999999999</v>
      </c>
      <c r="H29" s="34">
        <v>53.688850000000002</v>
      </c>
      <c r="I29" s="34">
        <v>52.968530000000001</v>
      </c>
      <c r="J29" s="34">
        <v>52.615569999999998</v>
      </c>
      <c r="K29" s="34">
        <v>52.498959999999997</v>
      </c>
      <c r="L29" s="34">
        <v>52.382869999999997</v>
      </c>
    </row>
    <row r="30" spans="1:12" x14ac:dyDescent="0.15">
      <c r="A30" s="34">
        <v>76</v>
      </c>
      <c r="B30" s="34">
        <v>67.099950000000007</v>
      </c>
      <c r="C30" s="34">
        <v>65.978579999999994</v>
      </c>
      <c r="D30" s="34">
        <v>65.431839999999994</v>
      </c>
      <c r="E30" s="34">
        <v>65.251599999999996</v>
      </c>
      <c r="F30" s="34">
        <v>65.07235</v>
      </c>
      <c r="H30" s="34">
        <v>56.447969999999998</v>
      </c>
      <c r="I30" s="34">
        <v>55.652259999999998</v>
      </c>
      <c r="J30" s="34">
        <v>55.26276</v>
      </c>
      <c r="K30" s="34">
        <v>55.134140000000002</v>
      </c>
      <c r="L30" s="34">
        <v>55.00611</v>
      </c>
    </row>
    <row r="31" spans="1:12" x14ac:dyDescent="0.15">
      <c r="A31" s="34">
        <v>77</v>
      </c>
      <c r="B31" s="34">
        <v>70.894360000000006</v>
      </c>
      <c r="C31" s="34">
        <v>69.64376</v>
      </c>
      <c r="D31" s="34">
        <v>69.034859999999995</v>
      </c>
      <c r="E31" s="34">
        <v>68.83426</v>
      </c>
      <c r="F31" s="34">
        <v>68.634810000000002</v>
      </c>
      <c r="H31" s="34">
        <v>59.466079999999998</v>
      </c>
      <c r="I31" s="34">
        <v>58.583669999999998</v>
      </c>
      <c r="J31" s="34">
        <v>58.15222</v>
      </c>
      <c r="K31" s="34">
        <v>58.009810000000002</v>
      </c>
      <c r="L31" s="34">
        <v>57.868090000000002</v>
      </c>
    </row>
    <row r="32" spans="1:12" x14ac:dyDescent="0.15">
      <c r="A32" s="34">
        <v>78</v>
      </c>
      <c r="B32" s="34">
        <v>75.043639999999996</v>
      </c>
      <c r="C32" s="34">
        <v>73.643820000000005</v>
      </c>
      <c r="D32" s="34">
        <v>72.963310000000007</v>
      </c>
      <c r="E32" s="34">
        <v>72.739260000000002</v>
      </c>
      <c r="F32" s="34">
        <v>72.516580000000005</v>
      </c>
      <c r="H32" s="34">
        <v>62.775309999999998</v>
      </c>
      <c r="I32" s="34">
        <v>61.79278</v>
      </c>
      <c r="J32" s="34">
        <v>61.312950000000001</v>
      </c>
      <c r="K32" s="34">
        <v>61.15466</v>
      </c>
      <c r="L32" s="34">
        <v>60.997190000000003</v>
      </c>
    </row>
    <row r="33" spans="1:12" x14ac:dyDescent="0.15">
      <c r="A33" s="34">
        <v>79</v>
      </c>
      <c r="B33" s="34">
        <v>79.568029999999993</v>
      </c>
      <c r="C33" s="34">
        <v>77.996099999999998</v>
      </c>
      <c r="D33" s="34">
        <v>77.233199999999997</v>
      </c>
      <c r="E33" s="34">
        <v>76.982200000000006</v>
      </c>
      <c r="F33" s="34">
        <v>76.732830000000007</v>
      </c>
      <c r="H33" s="34">
        <v>66.401480000000006</v>
      </c>
      <c r="I33" s="34">
        <v>65.303150000000002</v>
      </c>
      <c r="J33" s="34">
        <v>64.767489999999995</v>
      </c>
      <c r="K33" s="34">
        <v>64.590890000000002</v>
      </c>
      <c r="L33" s="34">
        <v>64.41525</v>
      </c>
    </row>
    <row r="34" spans="1:12" x14ac:dyDescent="0.15">
      <c r="A34" s="34">
        <v>80</v>
      </c>
      <c r="B34" s="34">
        <v>84.50752</v>
      </c>
      <c r="C34" s="34">
        <v>82.736530000000002</v>
      </c>
      <c r="D34" s="34">
        <v>81.878579999999999</v>
      </c>
      <c r="E34" s="34">
        <v>81.596540000000005</v>
      </c>
      <c r="F34" s="34">
        <v>81.316429999999997</v>
      </c>
      <c r="H34" s="34">
        <v>70.372559999999993</v>
      </c>
      <c r="I34" s="34">
        <v>69.140150000000006</v>
      </c>
      <c r="J34" s="34">
        <v>68.539990000000003</v>
      </c>
      <c r="K34" s="34">
        <v>68.342240000000004</v>
      </c>
      <c r="L34" s="34">
        <v>68.145629999999997</v>
      </c>
    </row>
  </sheetData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F0DC1-812C-9D44-8E37-86B10FB967A6}">
  <dimension ref="A1:L34"/>
  <sheetViews>
    <sheetView zoomScale="85" zoomScaleNormal="85" workbookViewId="0">
      <selection activeCell="A19" sqref="A19:D69"/>
    </sheetView>
  </sheetViews>
  <sheetFormatPr baseColWidth="10" defaultColWidth="11.5" defaultRowHeight="13" x14ac:dyDescent="0.15"/>
  <cols>
    <col min="1" max="16384" width="11.5" style="34"/>
  </cols>
  <sheetData>
    <row r="1" spans="1:12" x14ac:dyDescent="0.15">
      <c r="A1" s="36" t="s">
        <v>123</v>
      </c>
    </row>
    <row r="2" spans="1:12" x14ac:dyDescent="0.15">
      <c r="A2" s="36"/>
      <c r="B2" s="34" t="s">
        <v>121</v>
      </c>
      <c r="H2" s="34" t="s">
        <v>120</v>
      </c>
    </row>
    <row r="3" spans="1:12" x14ac:dyDescent="0.15">
      <c r="A3" s="35"/>
      <c r="B3" s="34" t="s">
        <v>119</v>
      </c>
      <c r="C3" s="34" t="s">
        <v>118</v>
      </c>
      <c r="D3" s="34" t="s">
        <v>117</v>
      </c>
      <c r="E3" s="34" t="s">
        <v>116</v>
      </c>
      <c r="F3" s="34" t="s">
        <v>115</v>
      </c>
      <c r="H3" s="34" t="s">
        <v>119</v>
      </c>
      <c r="I3" s="34" t="s">
        <v>118</v>
      </c>
      <c r="J3" s="34" t="s">
        <v>117</v>
      </c>
      <c r="K3" s="34" t="s">
        <v>116</v>
      </c>
      <c r="L3" s="34" t="s">
        <v>115</v>
      </c>
    </row>
    <row r="4" spans="1:12" x14ac:dyDescent="0.15">
      <c r="A4" s="34">
        <v>50</v>
      </c>
      <c r="B4" s="34">
        <v>25.982569999999999</v>
      </c>
      <c r="C4" s="34">
        <v>25.813970000000001</v>
      </c>
      <c r="D4" s="34">
        <v>25.73049</v>
      </c>
      <c r="E4" s="34">
        <v>25.70279</v>
      </c>
      <c r="F4" s="34">
        <v>25.675139999999999</v>
      </c>
      <c r="H4" s="34">
        <v>23.501180000000002</v>
      </c>
      <c r="I4" s="34">
        <v>23.362919999999999</v>
      </c>
      <c r="J4" s="34">
        <v>23.2944</v>
      </c>
      <c r="K4" s="34">
        <v>23.271650000000001</v>
      </c>
      <c r="L4" s="34">
        <v>23.248940000000001</v>
      </c>
    </row>
    <row r="5" spans="1:12" x14ac:dyDescent="0.15">
      <c r="A5" s="34">
        <v>51</v>
      </c>
      <c r="B5" s="34">
        <v>26.648790000000002</v>
      </c>
      <c r="C5" s="34">
        <v>26.471589999999999</v>
      </c>
      <c r="D5" s="34">
        <v>26.383870000000002</v>
      </c>
      <c r="E5" s="34">
        <v>26.354749999999999</v>
      </c>
      <c r="F5" s="34">
        <v>26.325710000000001</v>
      </c>
      <c r="H5" s="34">
        <v>24.049209999999999</v>
      </c>
      <c r="I5" s="34">
        <v>23.904509999999998</v>
      </c>
      <c r="J5" s="34">
        <v>23.832799999999999</v>
      </c>
      <c r="K5" s="34">
        <v>23.809000000000001</v>
      </c>
      <c r="L5" s="34">
        <v>23.785240000000002</v>
      </c>
    </row>
    <row r="6" spans="1:12" x14ac:dyDescent="0.15">
      <c r="A6" s="34">
        <v>52</v>
      </c>
      <c r="B6" s="34">
        <v>27.34806</v>
      </c>
      <c r="C6" s="34">
        <v>27.1616</v>
      </c>
      <c r="D6" s="34">
        <v>27.069330000000001</v>
      </c>
      <c r="E6" s="34">
        <v>27.038709999999998</v>
      </c>
      <c r="F6" s="34">
        <v>27.00816</v>
      </c>
      <c r="H6" s="34">
        <v>24.62208</v>
      </c>
      <c r="I6" s="34">
        <v>24.470479999999998</v>
      </c>
      <c r="J6" s="34">
        <v>24.39537</v>
      </c>
      <c r="K6" s="34">
        <v>24.370439999999999</v>
      </c>
      <c r="L6" s="34">
        <v>24.345559999999999</v>
      </c>
    </row>
    <row r="7" spans="1:12" x14ac:dyDescent="0.15">
      <c r="A7" s="34">
        <v>53</v>
      </c>
      <c r="B7" s="34">
        <v>28.082699999999999</v>
      </c>
      <c r="C7" s="34">
        <v>27.886289999999999</v>
      </c>
      <c r="D7" s="34">
        <v>27.789110000000001</v>
      </c>
      <c r="E7" s="34">
        <v>27.756869999999999</v>
      </c>
      <c r="F7" s="34">
        <v>27.724699999999999</v>
      </c>
      <c r="H7" s="34">
        <v>25.22148</v>
      </c>
      <c r="I7" s="34">
        <v>25.062470000000001</v>
      </c>
      <c r="J7" s="34">
        <v>24.983720000000002</v>
      </c>
      <c r="K7" s="34">
        <v>24.95758</v>
      </c>
      <c r="L7" s="34">
        <v>24.9315</v>
      </c>
    </row>
    <row r="8" spans="1:12" x14ac:dyDescent="0.15">
      <c r="A8" s="34">
        <v>54</v>
      </c>
      <c r="B8" s="34">
        <v>28.854800000000001</v>
      </c>
      <c r="C8" s="34">
        <v>28.647659999999998</v>
      </c>
      <c r="D8" s="34">
        <v>28.545200000000001</v>
      </c>
      <c r="E8" s="34">
        <v>28.511199999999999</v>
      </c>
      <c r="F8" s="34">
        <v>28.47729</v>
      </c>
      <c r="H8" s="34">
        <v>25.849360000000001</v>
      </c>
      <c r="I8" s="34">
        <v>25.682410000000001</v>
      </c>
      <c r="J8" s="34">
        <v>25.59975</v>
      </c>
      <c r="K8" s="34">
        <v>25.572310000000002</v>
      </c>
      <c r="L8" s="34">
        <v>25.544930000000001</v>
      </c>
    </row>
    <row r="9" spans="1:12" x14ac:dyDescent="0.15">
      <c r="A9" s="34">
        <v>55</v>
      </c>
      <c r="B9" s="34">
        <v>29.66714</v>
      </c>
      <c r="C9" s="34">
        <v>29.448399999999999</v>
      </c>
      <c r="D9" s="34">
        <v>29.340240000000001</v>
      </c>
      <c r="E9" s="34">
        <v>29.304359999999999</v>
      </c>
      <c r="F9" s="34">
        <v>29.26857</v>
      </c>
      <c r="H9" s="34">
        <v>26.507930000000002</v>
      </c>
      <c r="I9" s="34">
        <v>26.332439999999998</v>
      </c>
      <c r="J9" s="34">
        <v>26.245560000000001</v>
      </c>
      <c r="K9" s="34">
        <v>26.216729999999998</v>
      </c>
      <c r="L9" s="34">
        <v>26.18796</v>
      </c>
    </row>
    <row r="10" spans="1:12" x14ac:dyDescent="0.15">
      <c r="A10" s="34">
        <v>56</v>
      </c>
      <c r="B10" s="34">
        <v>30.522870000000001</v>
      </c>
      <c r="C10" s="34">
        <v>30.291609999999999</v>
      </c>
      <c r="D10" s="34">
        <v>30.177289999999999</v>
      </c>
      <c r="E10" s="34">
        <v>30.13937</v>
      </c>
      <c r="F10" s="34">
        <v>30.10155</v>
      </c>
      <c r="H10" s="34">
        <v>27.200379999999999</v>
      </c>
      <c r="I10" s="34">
        <v>27.01567</v>
      </c>
      <c r="J10" s="34">
        <v>26.92426</v>
      </c>
      <c r="K10" s="34">
        <v>26.893920000000001</v>
      </c>
      <c r="L10" s="34">
        <v>26.863659999999999</v>
      </c>
    </row>
    <row r="11" spans="1:12" x14ac:dyDescent="0.15">
      <c r="A11" s="34">
        <v>57</v>
      </c>
      <c r="B11" s="34">
        <v>31.425630000000002</v>
      </c>
      <c r="C11" s="34">
        <v>31.180820000000001</v>
      </c>
      <c r="D11" s="34">
        <v>31.059840000000001</v>
      </c>
      <c r="E11" s="34">
        <v>31.01972</v>
      </c>
      <c r="F11" s="34">
        <v>30.979700000000001</v>
      </c>
      <c r="H11" s="34">
        <v>27.929659999999998</v>
      </c>
      <c r="I11" s="34">
        <v>27.73499</v>
      </c>
      <c r="J11" s="34">
        <v>27.638670000000001</v>
      </c>
      <c r="K11" s="34">
        <v>27.60671</v>
      </c>
      <c r="L11" s="34">
        <v>27.574829999999999</v>
      </c>
    </row>
    <row r="12" spans="1:12" x14ac:dyDescent="0.15">
      <c r="A12" s="34">
        <v>58</v>
      </c>
      <c r="B12" s="34">
        <v>32.379249999999999</v>
      </c>
      <c r="C12" s="34">
        <v>32.119779999999999</v>
      </c>
      <c r="D12" s="34">
        <v>31.991599999999998</v>
      </c>
      <c r="E12" s="34">
        <v>31.949090000000002</v>
      </c>
      <c r="F12" s="34">
        <v>31.90671</v>
      </c>
      <c r="H12" s="34">
        <v>28.699069999999999</v>
      </c>
      <c r="I12" s="34">
        <v>28.493600000000001</v>
      </c>
      <c r="J12" s="34">
        <v>28.391970000000001</v>
      </c>
      <c r="K12" s="34">
        <v>28.358250000000002</v>
      </c>
      <c r="L12" s="34">
        <v>28.32461</v>
      </c>
    </row>
    <row r="13" spans="1:12" x14ac:dyDescent="0.15">
      <c r="A13" s="34">
        <v>59</v>
      </c>
      <c r="B13" s="34">
        <v>33.388060000000003</v>
      </c>
      <c r="C13" s="34">
        <v>33.11271</v>
      </c>
      <c r="D13" s="34">
        <v>32.976730000000003</v>
      </c>
      <c r="E13" s="34">
        <v>32.931649999999998</v>
      </c>
      <c r="F13" s="34">
        <v>32.886690000000002</v>
      </c>
      <c r="H13" s="34">
        <v>29.512309999999999</v>
      </c>
      <c r="I13" s="34">
        <v>29.295110000000001</v>
      </c>
      <c r="J13" s="34">
        <v>29.187709999999999</v>
      </c>
      <c r="K13" s="34">
        <v>29.152090000000001</v>
      </c>
      <c r="L13" s="34">
        <v>29.11655</v>
      </c>
    </row>
    <row r="14" spans="1:12" x14ac:dyDescent="0.15">
      <c r="A14" s="34">
        <v>60</v>
      </c>
      <c r="B14" s="34">
        <v>34.456380000000003</v>
      </c>
      <c r="C14" s="34">
        <v>34.163739999999997</v>
      </c>
      <c r="D14" s="34">
        <v>34.019280000000002</v>
      </c>
      <c r="E14" s="34">
        <v>33.97139</v>
      </c>
      <c r="F14" s="34">
        <v>33.923639999999999</v>
      </c>
      <c r="H14" s="34">
        <v>30.37276</v>
      </c>
      <c r="I14" s="34">
        <v>30.142810000000001</v>
      </c>
      <c r="J14" s="34">
        <v>30.029140000000002</v>
      </c>
      <c r="K14" s="34">
        <v>29.991440000000001</v>
      </c>
      <c r="L14" s="34">
        <v>29.95384</v>
      </c>
    </row>
    <row r="15" spans="1:12" x14ac:dyDescent="0.15">
      <c r="A15" s="34">
        <v>61</v>
      </c>
      <c r="B15" s="34">
        <v>35.588560000000001</v>
      </c>
      <c r="C15" s="34">
        <v>35.277050000000003</v>
      </c>
      <c r="D15" s="34">
        <v>35.123330000000003</v>
      </c>
      <c r="E15" s="34">
        <v>35.072389999999999</v>
      </c>
      <c r="F15" s="34">
        <v>35.021599999999999</v>
      </c>
      <c r="H15" s="34">
        <v>31.28463</v>
      </c>
      <c r="I15" s="34">
        <v>31.040790000000001</v>
      </c>
      <c r="J15" s="34">
        <v>30.920290000000001</v>
      </c>
      <c r="K15" s="34">
        <v>30.880330000000001</v>
      </c>
      <c r="L15" s="34">
        <v>30.840479999999999</v>
      </c>
    </row>
    <row r="16" spans="1:12" x14ac:dyDescent="0.15">
      <c r="A16" s="34">
        <v>62</v>
      </c>
      <c r="B16" s="34">
        <v>36.788069999999998</v>
      </c>
      <c r="C16" s="34">
        <v>36.455950000000001</v>
      </c>
      <c r="D16" s="34">
        <v>36.29213</v>
      </c>
      <c r="E16" s="34">
        <v>36.237850000000002</v>
      </c>
      <c r="F16" s="34">
        <v>36.183729999999997</v>
      </c>
      <c r="H16" s="34">
        <v>32.254060000000003</v>
      </c>
      <c r="I16" s="34">
        <v>31.995039999999999</v>
      </c>
      <c r="J16" s="34">
        <v>31.867080000000001</v>
      </c>
      <c r="K16" s="34">
        <v>31.824649999999998</v>
      </c>
      <c r="L16" s="34">
        <v>31.782340000000001</v>
      </c>
    </row>
    <row r="17" spans="1:12" x14ac:dyDescent="0.15">
      <c r="A17" s="34">
        <v>63</v>
      </c>
      <c r="B17" s="34">
        <v>38.059800000000003</v>
      </c>
      <c r="C17" s="34">
        <v>37.705120000000001</v>
      </c>
      <c r="D17" s="34">
        <v>37.530250000000002</v>
      </c>
      <c r="E17" s="34">
        <v>37.472320000000003</v>
      </c>
      <c r="F17" s="34">
        <v>37.414569999999998</v>
      </c>
      <c r="H17" s="34">
        <v>33.285969999999999</v>
      </c>
      <c r="I17" s="34">
        <v>33.010309999999997</v>
      </c>
      <c r="J17" s="34">
        <v>32.874180000000003</v>
      </c>
      <c r="K17" s="34">
        <v>32.829050000000002</v>
      </c>
      <c r="L17" s="34">
        <v>32.784050000000001</v>
      </c>
    </row>
    <row r="18" spans="1:12" x14ac:dyDescent="0.15">
      <c r="A18" s="34">
        <v>64</v>
      </c>
      <c r="B18" s="34">
        <v>39.409140000000001</v>
      </c>
      <c r="C18" s="34">
        <v>39.029730000000001</v>
      </c>
      <c r="D18" s="34">
        <v>38.842750000000002</v>
      </c>
      <c r="E18" s="34">
        <v>38.780819999999999</v>
      </c>
      <c r="F18" s="34">
        <v>38.719090000000001</v>
      </c>
      <c r="H18" s="34">
        <v>34.385680000000001</v>
      </c>
      <c r="I18" s="34">
        <v>34.091760000000001</v>
      </c>
      <c r="J18" s="34">
        <v>33.946680000000001</v>
      </c>
      <c r="K18" s="34">
        <v>33.898589999999999</v>
      </c>
      <c r="L18" s="34">
        <v>33.850639999999999</v>
      </c>
    </row>
    <row r="19" spans="1:12" x14ac:dyDescent="0.15">
      <c r="A19" s="34">
        <v>65</v>
      </c>
      <c r="B19" s="34">
        <v>40.84883</v>
      </c>
      <c r="C19" s="34">
        <v>40.4422</v>
      </c>
      <c r="D19" s="34">
        <v>40.241909999999997</v>
      </c>
      <c r="E19" s="34">
        <v>40.17559</v>
      </c>
      <c r="F19" s="34">
        <v>40.109479999999998</v>
      </c>
      <c r="H19" s="34">
        <v>35.559370000000001</v>
      </c>
      <c r="I19" s="34">
        <v>35.245370000000001</v>
      </c>
      <c r="J19" s="34">
        <v>35.090440000000001</v>
      </c>
      <c r="K19" s="34">
        <v>35.039090000000002</v>
      </c>
      <c r="L19" s="34">
        <v>34.987900000000003</v>
      </c>
    </row>
    <row r="20" spans="1:12" x14ac:dyDescent="0.15">
      <c r="A20" s="34">
        <v>66</v>
      </c>
      <c r="B20" s="34">
        <v>42.389760000000003</v>
      </c>
      <c r="C20" s="34">
        <v>41.953110000000002</v>
      </c>
      <c r="D20" s="34">
        <v>41.738149999999997</v>
      </c>
      <c r="E20" s="34">
        <v>41.666980000000002</v>
      </c>
      <c r="F20" s="34">
        <v>41.596060000000001</v>
      </c>
      <c r="H20" s="34">
        <v>36.814160000000001</v>
      </c>
      <c r="I20" s="34">
        <v>36.478029999999997</v>
      </c>
      <c r="J20" s="34">
        <v>36.312249999999999</v>
      </c>
      <c r="K20" s="34">
        <v>36.257330000000003</v>
      </c>
      <c r="L20" s="34">
        <v>36.202570000000001</v>
      </c>
    </row>
    <row r="21" spans="1:12" x14ac:dyDescent="0.15">
      <c r="A21" s="34">
        <v>67</v>
      </c>
      <c r="B21" s="34">
        <v>44.04092</v>
      </c>
      <c r="C21" s="34">
        <v>43.571120000000001</v>
      </c>
      <c r="D21" s="34">
        <v>43.339959999999998</v>
      </c>
      <c r="E21" s="34">
        <v>43.263449999999999</v>
      </c>
      <c r="F21" s="34">
        <v>43.18721</v>
      </c>
      <c r="H21" s="34">
        <v>38.15793</v>
      </c>
      <c r="I21" s="34">
        <v>37.797359999999998</v>
      </c>
      <c r="J21" s="34">
        <v>37.619610000000002</v>
      </c>
      <c r="K21" s="34">
        <v>37.560740000000003</v>
      </c>
      <c r="L21" s="34">
        <v>37.502040000000001</v>
      </c>
    </row>
    <row r="22" spans="1:12" x14ac:dyDescent="0.15">
      <c r="A22" s="34">
        <v>68</v>
      </c>
      <c r="B22" s="34">
        <v>45.81306</v>
      </c>
      <c r="C22" s="34">
        <v>45.306620000000002</v>
      </c>
      <c r="D22" s="34">
        <v>45.057580000000002</v>
      </c>
      <c r="E22" s="34">
        <v>44.975169999999999</v>
      </c>
      <c r="F22" s="34">
        <v>44.893059999999998</v>
      </c>
      <c r="H22" s="34">
        <v>39.59966</v>
      </c>
      <c r="I22" s="34">
        <v>39.212029999999999</v>
      </c>
      <c r="J22" s="34">
        <v>39.021050000000002</v>
      </c>
      <c r="K22" s="34">
        <v>38.957799999999999</v>
      </c>
      <c r="L22" s="34">
        <v>38.894759999999998</v>
      </c>
    </row>
    <row r="23" spans="1:12" x14ac:dyDescent="0.15">
      <c r="A23" s="34">
        <v>69</v>
      </c>
      <c r="B23" s="34">
        <v>47.718649999999997</v>
      </c>
      <c r="C23" s="34">
        <v>47.171680000000002</v>
      </c>
      <c r="D23" s="34">
        <v>46.902859999999997</v>
      </c>
      <c r="E23" s="34">
        <v>46.813940000000002</v>
      </c>
      <c r="F23" s="34">
        <v>46.725349999999999</v>
      </c>
      <c r="H23" s="34">
        <v>41.148980000000002</v>
      </c>
      <c r="I23" s="34">
        <v>40.731369999999998</v>
      </c>
      <c r="J23" s="34">
        <v>40.52572</v>
      </c>
      <c r="K23" s="34">
        <v>40.457630000000002</v>
      </c>
      <c r="L23" s="34">
        <v>40.389769999999999</v>
      </c>
    </row>
    <row r="24" spans="1:12" x14ac:dyDescent="0.15">
      <c r="A24" s="34">
        <v>70</v>
      </c>
      <c r="B24" s="34">
        <v>49.770249999999997</v>
      </c>
      <c r="C24" s="34">
        <v>49.178379999999997</v>
      </c>
      <c r="D24" s="34">
        <v>48.887689999999999</v>
      </c>
      <c r="E24" s="34">
        <v>48.791559999999997</v>
      </c>
      <c r="F24" s="34">
        <v>48.695799999999998</v>
      </c>
      <c r="H24" s="34">
        <v>42.816540000000003</v>
      </c>
      <c r="I24" s="34">
        <v>42.365600000000001</v>
      </c>
      <c r="J24" s="34">
        <v>42.143680000000003</v>
      </c>
      <c r="K24" s="34">
        <v>42.070219999999999</v>
      </c>
      <c r="L24" s="34">
        <v>41.997019999999999</v>
      </c>
    </row>
    <row r="25" spans="1:12" x14ac:dyDescent="0.15">
      <c r="A25" s="34">
        <v>71</v>
      </c>
      <c r="B25" s="34">
        <v>51.981279999999998</v>
      </c>
      <c r="C25" s="34">
        <v>51.339660000000002</v>
      </c>
      <c r="D25" s="34">
        <v>51.024749999999997</v>
      </c>
      <c r="E25" s="34">
        <v>50.920639999999999</v>
      </c>
      <c r="F25" s="34">
        <v>50.816949999999999</v>
      </c>
      <c r="H25" s="34">
        <v>44.613939999999999</v>
      </c>
      <c r="I25" s="34">
        <v>44.125929999999997</v>
      </c>
      <c r="J25" s="34">
        <v>43.885899999999999</v>
      </c>
      <c r="K25" s="34">
        <v>43.806469999999997</v>
      </c>
      <c r="L25" s="34">
        <v>43.727330000000002</v>
      </c>
    </row>
    <row r="26" spans="1:12" x14ac:dyDescent="0.15">
      <c r="A26" s="34">
        <v>72</v>
      </c>
      <c r="B26" s="34">
        <v>54.366079999999997</v>
      </c>
      <c r="C26" s="34">
        <v>53.669280000000001</v>
      </c>
      <c r="D26" s="34">
        <v>53.327530000000003</v>
      </c>
      <c r="E26" s="34">
        <v>53.214579999999998</v>
      </c>
      <c r="F26" s="34">
        <v>53.102110000000003</v>
      </c>
      <c r="H26" s="34">
        <v>46.554540000000003</v>
      </c>
      <c r="I26" s="34">
        <v>46.025199999999998</v>
      </c>
      <c r="J26" s="34">
        <v>45.765009999999997</v>
      </c>
      <c r="K26" s="34">
        <v>45.678930000000001</v>
      </c>
      <c r="L26" s="34">
        <v>45.593179999999997</v>
      </c>
    </row>
    <row r="27" spans="1:12" x14ac:dyDescent="0.15">
      <c r="A27" s="34">
        <v>73</v>
      </c>
      <c r="B27" s="34">
        <v>56.937170000000002</v>
      </c>
      <c r="C27" s="34">
        <v>56.179310000000001</v>
      </c>
      <c r="D27" s="34">
        <v>55.80789</v>
      </c>
      <c r="E27" s="34">
        <v>55.685180000000003</v>
      </c>
      <c r="F27" s="34">
        <v>55.563000000000002</v>
      </c>
      <c r="H27" s="34">
        <v>48.652299999999997</v>
      </c>
      <c r="I27" s="34">
        <v>48.076799999999999</v>
      </c>
      <c r="J27" s="34">
        <v>47.794130000000003</v>
      </c>
      <c r="K27" s="34">
        <v>47.70064</v>
      </c>
      <c r="L27" s="34">
        <v>47.607520000000001</v>
      </c>
    </row>
    <row r="28" spans="1:12" x14ac:dyDescent="0.15">
      <c r="A28" s="34">
        <v>74</v>
      </c>
      <c r="B28" s="34">
        <v>59.709040000000002</v>
      </c>
      <c r="C28" s="34">
        <v>58.883899999999997</v>
      </c>
      <c r="D28" s="34">
        <v>58.479819999999997</v>
      </c>
      <c r="E28" s="34">
        <v>58.346350000000001</v>
      </c>
      <c r="F28" s="34">
        <v>58.213500000000003</v>
      </c>
      <c r="H28" s="34">
        <v>50.922179999999997</v>
      </c>
      <c r="I28" s="34">
        <v>50.295209999999997</v>
      </c>
      <c r="J28" s="34">
        <v>49.987479999999998</v>
      </c>
      <c r="K28" s="34">
        <v>49.885739999999998</v>
      </c>
      <c r="L28" s="34">
        <v>49.784410000000001</v>
      </c>
    </row>
    <row r="29" spans="1:12" x14ac:dyDescent="0.15">
      <c r="A29" s="34">
        <v>75</v>
      </c>
      <c r="B29" s="34">
        <v>62.696739999999998</v>
      </c>
      <c r="C29" s="34">
        <v>61.797609999999999</v>
      </c>
      <c r="D29" s="34">
        <v>61.35765</v>
      </c>
      <c r="E29" s="34">
        <v>61.212380000000003</v>
      </c>
      <c r="F29" s="34">
        <v>61.067799999999998</v>
      </c>
      <c r="H29" s="34">
        <v>53.380929999999999</v>
      </c>
      <c r="I29" s="34">
        <v>52.696629999999999</v>
      </c>
      <c r="J29" s="34">
        <v>52.361020000000003</v>
      </c>
      <c r="K29" s="34">
        <v>52.250100000000003</v>
      </c>
      <c r="L29" s="34">
        <v>52.13964</v>
      </c>
    </row>
    <row r="30" spans="1:12" x14ac:dyDescent="0.15">
      <c r="A30" s="34">
        <v>76</v>
      </c>
      <c r="B30" s="34">
        <v>65.916640000000001</v>
      </c>
      <c r="C30" s="34">
        <v>64.936449999999994</v>
      </c>
      <c r="D30" s="34">
        <v>64.4572</v>
      </c>
      <c r="E30" s="34">
        <v>64.299019999999999</v>
      </c>
      <c r="F30" s="34">
        <v>64.141620000000003</v>
      </c>
      <c r="H30" s="34">
        <v>56.045920000000002</v>
      </c>
      <c r="I30" s="34">
        <v>55.297919999999998</v>
      </c>
      <c r="J30" s="34">
        <v>54.931350000000002</v>
      </c>
      <c r="K30" s="34">
        <v>54.81024</v>
      </c>
      <c r="L30" s="34">
        <v>54.689860000000003</v>
      </c>
    </row>
    <row r="31" spans="1:12" x14ac:dyDescent="0.15">
      <c r="A31" s="34">
        <v>77</v>
      </c>
      <c r="B31" s="34">
        <v>69.384900000000002</v>
      </c>
      <c r="C31" s="34">
        <v>68.316000000000003</v>
      </c>
      <c r="D31" s="34">
        <v>67.793800000000005</v>
      </c>
      <c r="E31" s="34">
        <v>67.621510000000001</v>
      </c>
      <c r="F31" s="34">
        <v>67.45008</v>
      </c>
      <c r="H31" s="34">
        <v>58.934310000000004</v>
      </c>
      <c r="I31" s="34">
        <v>58.11591</v>
      </c>
      <c r="J31" s="34">
        <v>57.715179999999997</v>
      </c>
      <c r="K31" s="34">
        <v>57.582819999999998</v>
      </c>
      <c r="L31" s="34">
        <v>57.451079999999997</v>
      </c>
    </row>
    <row r="32" spans="1:12" x14ac:dyDescent="0.15">
      <c r="A32" s="34">
        <v>78</v>
      </c>
      <c r="B32" s="34">
        <v>73.111530000000002</v>
      </c>
      <c r="C32" s="34">
        <v>71.946089999999998</v>
      </c>
      <c r="D32" s="34">
        <v>71.377189999999999</v>
      </c>
      <c r="E32" s="34">
        <v>71.189549999999997</v>
      </c>
      <c r="F32" s="34">
        <v>71.002899999999997</v>
      </c>
      <c r="H32" s="34">
        <v>62.063639999999999</v>
      </c>
      <c r="I32" s="34">
        <v>61.167650000000002</v>
      </c>
      <c r="J32" s="34">
        <v>60.729289999999999</v>
      </c>
      <c r="K32" s="34">
        <v>60.584560000000003</v>
      </c>
      <c r="L32" s="34">
        <v>60.440519999999999</v>
      </c>
    </row>
    <row r="33" spans="1:12" x14ac:dyDescent="0.15">
      <c r="A33" s="34">
        <v>79</v>
      </c>
      <c r="B33" s="34">
        <v>77.096919999999997</v>
      </c>
      <c r="C33" s="34">
        <v>75.827500000000001</v>
      </c>
      <c r="D33" s="34">
        <v>75.208340000000007</v>
      </c>
      <c r="E33" s="34">
        <v>75.004189999999994</v>
      </c>
      <c r="F33" s="34">
        <v>74.801150000000007</v>
      </c>
      <c r="H33" s="34">
        <v>65.44408</v>
      </c>
      <c r="I33" s="34">
        <v>64.463049999999996</v>
      </c>
      <c r="J33" s="34">
        <v>63.98348</v>
      </c>
      <c r="K33" s="34">
        <v>63.825209999999998</v>
      </c>
      <c r="L33" s="34">
        <v>63.66771</v>
      </c>
    </row>
    <row r="34" spans="1:12" x14ac:dyDescent="0.15">
      <c r="A34" s="34">
        <v>80</v>
      </c>
      <c r="B34" s="34">
        <v>81.346159999999998</v>
      </c>
      <c r="C34" s="34">
        <v>79.966419999999999</v>
      </c>
      <c r="D34" s="34">
        <v>79.293959999999998</v>
      </c>
      <c r="E34" s="34">
        <v>79.072320000000005</v>
      </c>
      <c r="F34" s="34">
        <v>78.851900000000001</v>
      </c>
      <c r="H34" s="34">
        <v>69.082809999999995</v>
      </c>
      <c r="I34" s="34">
        <v>68.009479999999996</v>
      </c>
      <c r="J34" s="34">
        <v>67.485230000000001</v>
      </c>
      <c r="K34" s="34">
        <v>67.312269999999998</v>
      </c>
      <c r="L34" s="34">
        <v>67.140190000000004</v>
      </c>
    </row>
  </sheetData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3151E-683A-3043-8512-D7D36913C37C}">
  <dimension ref="A1:L34"/>
  <sheetViews>
    <sheetView zoomScale="85" zoomScaleNormal="85" workbookViewId="0">
      <selection activeCell="A19" sqref="A19:D69"/>
    </sheetView>
  </sheetViews>
  <sheetFormatPr baseColWidth="10" defaultColWidth="11.5" defaultRowHeight="13" x14ac:dyDescent="0.15"/>
  <cols>
    <col min="1" max="16384" width="11.5" style="34"/>
  </cols>
  <sheetData>
    <row r="1" spans="1:12" x14ac:dyDescent="0.15">
      <c r="A1" s="36" t="s">
        <v>124</v>
      </c>
    </row>
    <row r="2" spans="1:12" x14ac:dyDescent="0.15">
      <c r="A2" s="36"/>
      <c r="B2" s="34" t="s">
        <v>121</v>
      </c>
      <c r="H2" s="34" t="s">
        <v>120</v>
      </c>
    </row>
    <row r="3" spans="1:12" x14ac:dyDescent="0.15">
      <c r="A3" s="35"/>
      <c r="B3" s="34" t="s">
        <v>119</v>
      </c>
      <c r="C3" s="34" t="s">
        <v>118</v>
      </c>
      <c r="D3" s="34" t="s">
        <v>117</v>
      </c>
      <c r="E3" s="34" t="s">
        <v>116</v>
      </c>
      <c r="F3" s="34" t="s">
        <v>115</v>
      </c>
      <c r="H3" s="34" t="s">
        <v>119</v>
      </c>
      <c r="I3" s="34" t="s">
        <v>118</v>
      </c>
      <c r="J3" s="34" t="s">
        <v>117</v>
      </c>
      <c r="K3" s="34" t="s">
        <v>116</v>
      </c>
      <c r="L3" s="34" t="s">
        <v>115</v>
      </c>
    </row>
    <row r="4" spans="1:12" x14ac:dyDescent="0.15">
      <c r="A4" s="34">
        <v>50</v>
      </c>
      <c r="B4" s="34">
        <v>25.9343</v>
      </c>
      <c r="C4" s="34">
        <v>25.768260000000001</v>
      </c>
      <c r="D4" s="34">
        <v>25.686029999999999</v>
      </c>
      <c r="E4" s="34">
        <v>25.658740000000002</v>
      </c>
      <c r="F4" s="34">
        <v>25.631499999999999</v>
      </c>
      <c r="H4" s="34">
        <v>23.472719999999999</v>
      </c>
      <c r="I4" s="34">
        <v>23.335809999999999</v>
      </c>
      <c r="J4" s="34">
        <v>23.267949999999999</v>
      </c>
      <c r="K4" s="34">
        <v>23.245419999999999</v>
      </c>
      <c r="L4" s="34">
        <v>23.222940000000001</v>
      </c>
    </row>
    <row r="5" spans="1:12" x14ac:dyDescent="0.15">
      <c r="A5" s="34">
        <v>51</v>
      </c>
      <c r="B5" s="34">
        <v>26.593699999999998</v>
      </c>
      <c r="C5" s="34">
        <v>26.419419999999999</v>
      </c>
      <c r="D5" s="34">
        <v>26.33314</v>
      </c>
      <c r="E5" s="34">
        <v>26.304500000000001</v>
      </c>
      <c r="F5" s="34">
        <v>26.275919999999999</v>
      </c>
      <c r="H5" s="34">
        <v>24.017880000000002</v>
      </c>
      <c r="I5" s="34">
        <v>23.874639999999999</v>
      </c>
      <c r="J5" s="34">
        <v>23.803660000000001</v>
      </c>
      <c r="K5" s="34">
        <v>23.780100000000001</v>
      </c>
      <c r="L5" s="34">
        <v>23.75658</v>
      </c>
    </row>
    <row r="6" spans="1:12" x14ac:dyDescent="0.15">
      <c r="A6" s="34">
        <v>52</v>
      </c>
      <c r="B6" s="34">
        <v>27.285019999999999</v>
      </c>
      <c r="C6" s="34">
        <v>27.101939999999999</v>
      </c>
      <c r="D6" s="34">
        <v>27.011320000000001</v>
      </c>
      <c r="E6" s="34">
        <v>26.981249999999999</v>
      </c>
      <c r="F6" s="34">
        <v>26.951239999999999</v>
      </c>
      <c r="H6" s="34">
        <v>24.58775</v>
      </c>
      <c r="I6" s="34">
        <v>24.437740000000002</v>
      </c>
      <c r="J6" s="34">
        <v>24.363430000000001</v>
      </c>
      <c r="K6" s="34">
        <v>24.338750000000001</v>
      </c>
      <c r="L6" s="34">
        <v>24.314129999999999</v>
      </c>
    </row>
    <row r="7" spans="1:12" x14ac:dyDescent="0.15">
      <c r="A7" s="34">
        <v>53</v>
      </c>
      <c r="B7" s="34">
        <v>28.010290000000001</v>
      </c>
      <c r="C7" s="34">
        <v>27.817810000000001</v>
      </c>
      <c r="D7" s="34">
        <v>27.722549999999998</v>
      </c>
      <c r="E7" s="34">
        <v>27.690940000000001</v>
      </c>
      <c r="F7" s="34">
        <v>27.659410000000001</v>
      </c>
      <c r="H7" s="34">
        <v>25.184059999999999</v>
      </c>
      <c r="I7" s="34">
        <v>25.026789999999998</v>
      </c>
      <c r="J7" s="34">
        <v>24.948889999999999</v>
      </c>
      <c r="K7" s="34">
        <v>24.923030000000001</v>
      </c>
      <c r="L7" s="34">
        <v>24.897220000000001</v>
      </c>
    </row>
    <row r="8" spans="1:12" x14ac:dyDescent="0.15">
      <c r="A8" s="34">
        <v>54</v>
      </c>
      <c r="B8" s="34">
        <v>28.7713</v>
      </c>
      <c r="C8" s="34">
        <v>28.568760000000001</v>
      </c>
      <c r="D8" s="34">
        <v>28.46856</v>
      </c>
      <c r="E8" s="34">
        <v>28.435310000000001</v>
      </c>
      <c r="F8" s="34">
        <v>28.402139999999999</v>
      </c>
      <c r="H8" s="34">
        <v>25.80875</v>
      </c>
      <c r="I8" s="34">
        <v>25.643689999999999</v>
      </c>
      <c r="J8" s="34">
        <v>25.56194</v>
      </c>
      <c r="K8" s="34">
        <v>25.53481</v>
      </c>
      <c r="L8" s="34">
        <v>25.507729999999999</v>
      </c>
    </row>
    <row r="9" spans="1:12" x14ac:dyDescent="0.15">
      <c r="A9" s="34">
        <v>55</v>
      </c>
      <c r="B9" s="34">
        <v>29.570489999999999</v>
      </c>
      <c r="C9" s="34">
        <v>29.35717</v>
      </c>
      <c r="D9" s="34">
        <v>29.251660000000001</v>
      </c>
      <c r="E9" s="34">
        <v>29.216650000000001</v>
      </c>
      <c r="F9" s="34">
        <v>29.181740000000001</v>
      </c>
      <c r="H9" s="34">
        <v>26.464020000000001</v>
      </c>
      <c r="I9" s="34">
        <v>26.290569999999999</v>
      </c>
      <c r="J9" s="34">
        <v>26.204689999999999</v>
      </c>
      <c r="K9" s="34">
        <v>26.176189999999998</v>
      </c>
      <c r="L9" s="34">
        <v>26.147749999999998</v>
      </c>
    </row>
    <row r="10" spans="1:12" x14ac:dyDescent="0.15">
      <c r="A10" s="34">
        <v>56</v>
      </c>
      <c r="B10" s="34">
        <v>30.410740000000001</v>
      </c>
      <c r="C10" s="34">
        <v>30.18581</v>
      </c>
      <c r="D10" s="34">
        <v>30.074590000000001</v>
      </c>
      <c r="E10" s="34">
        <v>30.037700000000001</v>
      </c>
      <c r="F10" s="34">
        <v>30.000900000000001</v>
      </c>
      <c r="H10" s="34">
        <v>27.15288</v>
      </c>
      <c r="I10" s="34">
        <v>26.970400000000001</v>
      </c>
      <c r="J10" s="34">
        <v>26.88008</v>
      </c>
      <c r="K10" s="34">
        <v>26.850110000000001</v>
      </c>
      <c r="L10" s="34">
        <v>26.8202</v>
      </c>
    </row>
    <row r="11" spans="1:12" x14ac:dyDescent="0.15">
      <c r="A11" s="34">
        <v>57</v>
      </c>
      <c r="B11" s="34">
        <v>31.295290000000001</v>
      </c>
      <c r="C11" s="34">
        <v>31.057880000000001</v>
      </c>
      <c r="D11" s="34">
        <v>30.940519999999999</v>
      </c>
      <c r="E11" s="34">
        <v>30.901589999999999</v>
      </c>
      <c r="F11" s="34">
        <v>30.862770000000001</v>
      </c>
      <c r="H11" s="34">
        <v>27.878170000000001</v>
      </c>
      <c r="I11" s="34">
        <v>27.685949999999998</v>
      </c>
      <c r="J11" s="34">
        <v>27.59083</v>
      </c>
      <c r="K11" s="34">
        <v>27.559270000000001</v>
      </c>
      <c r="L11" s="34">
        <v>27.52779</v>
      </c>
    </row>
    <row r="12" spans="1:12" x14ac:dyDescent="0.15">
      <c r="A12" s="34">
        <v>58</v>
      </c>
      <c r="B12" s="34">
        <v>32.227629999999998</v>
      </c>
      <c r="C12" s="34">
        <v>31.976749999999999</v>
      </c>
      <c r="D12" s="34">
        <v>31.852779999999999</v>
      </c>
      <c r="E12" s="34">
        <v>31.81166</v>
      </c>
      <c r="F12" s="34">
        <v>31.770659999999999</v>
      </c>
      <c r="H12" s="34">
        <v>28.642980000000001</v>
      </c>
      <c r="I12" s="34">
        <v>28.440239999999999</v>
      </c>
      <c r="J12" s="34">
        <v>28.339950000000002</v>
      </c>
      <c r="K12" s="34">
        <v>28.30667</v>
      </c>
      <c r="L12" s="34">
        <v>28.273479999999999</v>
      </c>
    </row>
    <row r="13" spans="1:12" x14ac:dyDescent="0.15">
      <c r="A13" s="34">
        <v>59</v>
      </c>
      <c r="B13" s="34">
        <v>33.211660000000002</v>
      </c>
      <c r="C13" s="34">
        <v>32.946260000000002</v>
      </c>
      <c r="D13" s="34">
        <v>32.81514</v>
      </c>
      <c r="E13" s="34">
        <v>32.77167</v>
      </c>
      <c r="F13" s="34">
        <v>32.72831</v>
      </c>
      <c r="H13" s="34">
        <v>29.450790000000001</v>
      </c>
      <c r="I13" s="34">
        <v>29.23667</v>
      </c>
      <c r="J13" s="34">
        <v>29.130780000000001</v>
      </c>
      <c r="K13" s="34">
        <v>29.095649999999999</v>
      </c>
      <c r="L13" s="34">
        <v>29.06061</v>
      </c>
    </row>
    <row r="14" spans="1:12" x14ac:dyDescent="0.15">
      <c r="A14" s="34">
        <v>60</v>
      </c>
      <c r="B14" s="34">
        <v>34.251109999999997</v>
      </c>
      <c r="C14" s="34">
        <v>33.970030000000001</v>
      </c>
      <c r="D14" s="34">
        <v>33.831220000000002</v>
      </c>
      <c r="E14" s="34">
        <v>33.785200000000003</v>
      </c>
      <c r="F14" s="34">
        <v>33.7393</v>
      </c>
      <c r="H14" s="34">
        <v>30.304819999999999</v>
      </c>
      <c r="I14" s="34">
        <v>30.07837</v>
      </c>
      <c r="J14" s="34">
        <v>29.96641</v>
      </c>
      <c r="K14" s="34">
        <v>29.929279999999999</v>
      </c>
      <c r="L14" s="34">
        <v>29.892230000000001</v>
      </c>
    </row>
    <row r="15" spans="1:12" x14ac:dyDescent="0.15">
      <c r="A15" s="34">
        <v>61</v>
      </c>
      <c r="B15" s="34">
        <v>35.349640000000001</v>
      </c>
      <c r="C15" s="34">
        <v>35.05162</v>
      </c>
      <c r="D15" s="34">
        <v>34.904490000000003</v>
      </c>
      <c r="E15" s="34">
        <v>34.855719999999998</v>
      </c>
      <c r="F15" s="34">
        <v>34.807090000000002</v>
      </c>
      <c r="H15" s="34">
        <v>31.208950000000002</v>
      </c>
      <c r="I15" s="34">
        <v>30.96913</v>
      </c>
      <c r="J15" s="34">
        <v>30.8506</v>
      </c>
      <c r="K15" s="34">
        <v>30.81129</v>
      </c>
      <c r="L15" s="34">
        <v>30.772079999999999</v>
      </c>
    </row>
    <row r="16" spans="1:12" x14ac:dyDescent="0.15">
      <c r="A16" s="34">
        <v>62</v>
      </c>
      <c r="B16" s="34">
        <v>36.510129999999997</v>
      </c>
      <c r="C16" s="34">
        <v>38.193829999999998</v>
      </c>
      <c r="D16" s="34">
        <v>36.037730000000003</v>
      </c>
      <c r="E16" s="34">
        <v>35.985990000000001</v>
      </c>
      <c r="F16" s="34">
        <v>35.934399999999997</v>
      </c>
      <c r="H16" s="34">
        <v>32.168599999999998</v>
      </c>
      <c r="I16" s="34">
        <v>31.914259999999999</v>
      </c>
      <c r="J16" s="34">
        <v>31.788589999999999</v>
      </c>
      <c r="K16" s="34">
        <v>31.746919999999999</v>
      </c>
      <c r="L16" s="34">
        <v>31.705359999999999</v>
      </c>
    </row>
    <row r="17" spans="1:12" x14ac:dyDescent="0.15">
      <c r="A17" s="34">
        <v>63</v>
      </c>
      <c r="B17" s="34">
        <v>37.736400000000003</v>
      </c>
      <c r="C17" s="34">
        <v>37.400390000000002</v>
      </c>
      <c r="D17" s="34">
        <v>37.23462</v>
      </c>
      <c r="E17" s="34">
        <v>37.179679999999998</v>
      </c>
      <c r="F17" s="34">
        <v>37.12491</v>
      </c>
      <c r="H17" s="34">
        <v>33.188130000000001</v>
      </c>
      <c r="I17" s="34">
        <v>32.918010000000002</v>
      </c>
      <c r="J17" s="34">
        <v>32.784590000000001</v>
      </c>
      <c r="K17" s="34">
        <v>32.740360000000003</v>
      </c>
      <c r="L17" s="34">
        <v>32.696240000000003</v>
      </c>
    </row>
    <row r="18" spans="1:12" x14ac:dyDescent="0.15">
      <c r="A18" s="34">
        <v>64</v>
      </c>
      <c r="B18" s="34">
        <v>39.032400000000003</v>
      </c>
      <c r="C18" s="34">
        <v>38.675159999999998</v>
      </c>
      <c r="D18" s="34">
        <v>38.498989999999999</v>
      </c>
      <c r="E18" s="34">
        <v>38.440620000000003</v>
      </c>
      <c r="F18" s="34">
        <v>38.382429999999999</v>
      </c>
      <c r="H18" s="34">
        <v>34.272150000000003</v>
      </c>
      <c r="I18" s="34">
        <v>33.984870000000001</v>
      </c>
      <c r="J18" s="34">
        <v>33.843029999999999</v>
      </c>
      <c r="K18" s="34">
        <v>33.796019999999999</v>
      </c>
      <c r="L18" s="34">
        <v>33.749130000000001</v>
      </c>
    </row>
    <row r="19" spans="1:12" x14ac:dyDescent="0.15">
      <c r="A19" s="34">
        <v>65</v>
      </c>
      <c r="B19" s="34">
        <v>40.407179999999997</v>
      </c>
      <c r="C19" s="34">
        <v>40.027119999999996</v>
      </c>
      <c r="D19" s="34">
        <v>39.839759999999998</v>
      </c>
      <c r="E19" s="34">
        <v>39.777700000000003</v>
      </c>
      <c r="F19" s="34">
        <v>39.715820000000001</v>
      </c>
      <c r="H19" s="34">
        <v>35.425829999999998</v>
      </c>
      <c r="I19" s="34">
        <v>35.119909999999997</v>
      </c>
      <c r="J19" s="34">
        <v>34.968919999999997</v>
      </c>
      <c r="K19" s="34">
        <v>34.918880000000001</v>
      </c>
      <c r="L19" s="34">
        <v>34.868980000000001</v>
      </c>
    </row>
    <row r="20" spans="1:12" x14ac:dyDescent="0.15">
      <c r="A20" s="34">
        <v>66</v>
      </c>
      <c r="B20" s="34">
        <v>41.867870000000003</v>
      </c>
      <c r="C20" s="34">
        <v>41.463290000000001</v>
      </c>
      <c r="D20" s="34">
        <v>41.263919999999999</v>
      </c>
      <c r="E20" s="34">
        <v>41.197890000000001</v>
      </c>
      <c r="F20" s="34">
        <v>41.132069999999999</v>
      </c>
      <c r="H20" s="34">
        <v>36.654989999999998</v>
      </c>
      <c r="I20" s="34">
        <v>36.328780000000002</v>
      </c>
      <c r="J20" s="34">
        <v>36.167850000000001</v>
      </c>
      <c r="K20" s="34">
        <v>36.114519999999999</v>
      </c>
      <c r="L20" s="34">
        <v>36.061349999999997</v>
      </c>
    </row>
    <row r="21" spans="1:12" x14ac:dyDescent="0.15">
      <c r="A21" s="34">
        <v>67</v>
      </c>
      <c r="B21" s="34">
        <v>43.419580000000003</v>
      </c>
      <c r="C21" s="34">
        <v>42.988720000000001</v>
      </c>
      <c r="D21" s="34">
        <v>42.776490000000003</v>
      </c>
      <c r="E21" s="34">
        <v>42.706209999999999</v>
      </c>
      <c r="F21" s="34">
        <v>42.636159999999997</v>
      </c>
      <c r="H21" s="34">
        <v>37.965760000000003</v>
      </c>
      <c r="I21" s="34">
        <v>37.617510000000003</v>
      </c>
      <c r="J21" s="34">
        <v>37.445770000000003</v>
      </c>
      <c r="K21" s="34">
        <v>37.388869999999997</v>
      </c>
      <c r="L21" s="34">
        <v>37.332149999999999</v>
      </c>
    </row>
    <row r="22" spans="1:12" x14ac:dyDescent="0.15">
      <c r="A22" s="34">
        <v>68</v>
      </c>
      <c r="B22" s="34">
        <v>45.067779999999999</v>
      </c>
      <c r="C22" s="34">
        <v>44.608939999999997</v>
      </c>
      <c r="D22" s="34">
        <v>44.383009999999999</v>
      </c>
      <c r="E22" s="34">
        <v>44.308210000000003</v>
      </c>
      <c r="F22" s="34">
        <v>44.23366</v>
      </c>
      <c r="H22" s="34">
        <v>39.364849999999997</v>
      </c>
      <c r="I22" s="34">
        <v>38.992660000000001</v>
      </c>
      <c r="J22" s="34">
        <v>38.809179999999998</v>
      </c>
      <c r="K22" s="34">
        <v>38.74841</v>
      </c>
      <c r="L22" s="34">
        <v>38.687829999999998</v>
      </c>
    </row>
    <row r="23" spans="1:12" x14ac:dyDescent="0.15">
      <c r="A23" s="34">
        <v>69</v>
      </c>
      <c r="B23" s="34">
        <v>46.817619999999998</v>
      </c>
      <c r="C23" s="34">
        <v>46.329259999999998</v>
      </c>
      <c r="D23" s="34">
        <v>46.088880000000003</v>
      </c>
      <c r="E23" s="34">
        <v>46.009309999999999</v>
      </c>
      <c r="F23" s="34">
        <v>45.930010000000003</v>
      </c>
      <c r="H23" s="34">
        <v>40.858809999999998</v>
      </c>
      <c r="I23" s="34">
        <v>40.460700000000003</v>
      </c>
      <c r="J23" s="34">
        <v>40.264539999999997</v>
      </c>
      <c r="K23" s="34">
        <v>40.199579999999997</v>
      </c>
      <c r="L23" s="34">
        <v>40.134830000000001</v>
      </c>
    </row>
    <row r="24" spans="1:12" x14ac:dyDescent="0.15">
      <c r="A24" s="34">
        <v>70</v>
      </c>
      <c r="B24" s="34">
        <v>48.67277</v>
      </c>
      <c r="C24" s="34">
        <v>48.15352</v>
      </c>
      <c r="D24" s="34">
        <v>47.898029999999999</v>
      </c>
      <c r="E24" s="34">
        <v>47.813459999999999</v>
      </c>
      <c r="F24" s="34">
        <v>47.729199999999999</v>
      </c>
      <c r="H24" s="34">
        <v>42.453980000000001</v>
      </c>
      <c r="I24" s="34">
        <v>42.027999999999999</v>
      </c>
      <c r="J24" s="34">
        <v>41.818190000000001</v>
      </c>
      <c r="K24" s="34">
        <v>41.748719999999999</v>
      </c>
      <c r="L24" s="34">
        <v>41.679479999999998</v>
      </c>
    </row>
    <row r="25" spans="1:12" x14ac:dyDescent="0.15">
      <c r="A25" s="34">
        <v>71</v>
      </c>
      <c r="B25" s="34">
        <v>50.635559999999998</v>
      </c>
      <c r="C25" s="34">
        <v>50.084310000000002</v>
      </c>
      <c r="D25" s="34">
        <v>49.813160000000003</v>
      </c>
      <c r="E25" s="34">
        <v>49.72343</v>
      </c>
      <c r="F25" s="34">
        <v>49.634030000000003</v>
      </c>
      <c r="H25" s="34">
        <v>44.156230000000001</v>
      </c>
      <c r="I25" s="34">
        <v>43.700429999999997</v>
      </c>
      <c r="J25" s="34">
        <v>43.476039999999998</v>
      </c>
      <c r="K25" s="34">
        <v>43.401760000000003</v>
      </c>
      <c r="L25" s="34">
        <v>43.327730000000003</v>
      </c>
    </row>
    <row r="26" spans="1:12" x14ac:dyDescent="0.15">
      <c r="A26" s="34">
        <v>72</v>
      </c>
      <c r="B26" s="34">
        <v>52.707079999999998</v>
      </c>
      <c r="C26" s="34">
        <v>52.122990000000001</v>
      </c>
      <c r="D26" s="34">
        <v>51.835769999999997</v>
      </c>
      <c r="E26" s="34">
        <v>51.740729999999999</v>
      </c>
      <c r="F26" s="34">
        <v>51.646039999999999</v>
      </c>
      <c r="H26" s="34">
        <v>45.970599999999997</v>
      </c>
      <c r="I26" s="34">
        <v>45.4833</v>
      </c>
      <c r="J26" s="34">
        <v>45.243499999999997</v>
      </c>
      <c r="K26" s="34">
        <v>45.16413</v>
      </c>
      <c r="L26" s="34">
        <v>45.085039999999999</v>
      </c>
    </row>
    <row r="27" spans="1:12" x14ac:dyDescent="0.15">
      <c r="A27" s="34">
        <v>73</v>
      </c>
      <c r="B27" s="34">
        <v>54.884990000000002</v>
      </c>
      <c r="C27" s="34">
        <v>54.267699999999998</v>
      </c>
      <c r="D27" s="34">
        <v>53.964239999999997</v>
      </c>
      <c r="E27" s="34">
        <v>53.863840000000003</v>
      </c>
      <c r="F27" s="34">
        <v>53.763809999999999</v>
      </c>
      <c r="H27" s="34">
        <v>47.900709999999997</v>
      </c>
      <c r="I27" s="34">
        <v>47.380389999999998</v>
      </c>
      <c r="J27" s="34">
        <v>47.124450000000003</v>
      </c>
      <c r="K27" s="34">
        <v>47.039749999999998</v>
      </c>
      <c r="L27" s="34">
        <v>46.955359999999999</v>
      </c>
    </row>
    <row r="28" spans="1:12" x14ac:dyDescent="0.15">
      <c r="A28" s="34">
        <v>74</v>
      </c>
      <c r="B28" s="34">
        <v>57.165129999999998</v>
      </c>
      <c r="C28" s="34">
        <v>56.515140000000002</v>
      </c>
      <c r="D28" s="34">
        <v>56.195650000000001</v>
      </c>
      <c r="E28" s="34">
        <v>56.089959999999998</v>
      </c>
      <c r="F28" s="34">
        <v>55.984659999999998</v>
      </c>
      <c r="H28" s="34">
        <v>49.94858</v>
      </c>
      <c r="I28" s="34">
        <v>49.394089999999998</v>
      </c>
      <c r="J28" s="34">
        <v>49.12144</v>
      </c>
      <c r="K28" s="34">
        <v>49.031230000000001</v>
      </c>
      <c r="L28" s="34">
        <v>48.941339999999997</v>
      </c>
    </row>
    <row r="29" spans="1:12" x14ac:dyDescent="0.15">
      <c r="A29" s="34">
        <v>75</v>
      </c>
      <c r="B29" s="34">
        <v>59.539000000000001</v>
      </c>
      <c r="C29" s="34">
        <v>58.85801</v>
      </c>
      <c r="D29" s="34">
        <v>58.523330000000001</v>
      </c>
      <c r="E29" s="34">
        <v>58.412610000000001</v>
      </c>
      <c r="F29" s="34">
        <v>58.302309999999999</v>
      </c>
      <c r="H29" s="34">
        <v>52.114049999999999</v>
      </c>
      <c r="I29" s="34">
        <v>51.524920000000002</v>
      </c>
      <c r="J29" s="34">
        <v>51.235309999999998</v>
      </c>
      <c r="K29" s="34">
        <v>51.139499999999998</v>
      </c>
      <c r="L29" s="34">
        <v>51.044049999999999</v>
      </c>
    </row>
    <row r="30" spans="1:12" x14ac:dyDescent="0.15">
      <c r="A30" s="34">
        <v>76</v>
      </c>
      <c r="B30" s="34">
        <v>61.994540000000001</v>
      </c>
      <c r="C30" s="34">
        <v>61.285510000000002</v>
      </c>
      <c r="D30" s="34">
        <v>60.937040000000003</v>
      </c>
      <c r="E30" s="34">
        <v>60.821770000000001</v>
      </c>
      <c r="F30" s="34">
        <v>60.706919999999997</v>
      </c>
      <c r="H30" s="34">
        <v>54.394030000000001</v>
      </c>
      <c r="I30" s="34">
        <v>53.77046</v>
      </c>
      <c r="J30" s="34">
        <v>53.464010000000002</v>
      </c>
      <c r="K30" s="34">
        <v>53.362630000000003</v>
      </c>
      <c r="L30" s="34">
        <v>53.26164</v>
      </c>
    </row>
    <row r="31" spans="1:12" x14ac:dyDescent="0.15">
      <c r="A31" s="34">
        <v>77</v>
      </c>
      <c r="B31" s="34">
        <v>64.513440000000003</v>
      </c>
      <c r="C31" s="34">
        <v>63.780990000000003</v>
      </c>
      <c r="D31" s="34">
        <v>63.420960000000001</v>
      </c>
      <c r="E31" s="34">
        <v>63.301859999999998</v>
      </c>
      <c r="F31" s="34">
        <v>63.183199999999999</v>
      </c>
      <c r="H31" s="34">
        <v>56.783149999999999</v>
      </c>
      <c r="I31" s="34">
        <v>56.125950000000003</v>
      </c>
      <c r="J31" s="34">
        <v>55.803019999999997</v>
      </c>
      <c r="K31" s="34">
        <v>55.696199999999997</v>
      </c>
      <c r="L31" s="34">
        <v>55.589790000000001</v>
      </c>
    </row>
    <row r="32" spans="1:12" x14ac:dyDescent="0.15">
      <c r="A32" s="34">
        <v>78</v>
      </c>
      <c r="B32" s="34">
        <v>67.067909999999998</v>
      </c>
      <c r="C32" s="34">
        <v>66.318680000000001</v>
      </c>
      <c r="D32" s="34">
        <v>65.950310000000002</v>
      </c>
      <c r="E32" s="34">
        <v>65.828429999999997</v>
      </c>
      <c r="F32" s="34">
        <v>65.706990000000005</v>
      </c>
      <c r="H32" s="34">
        <v>59.270800000000001</v>
      </c>
      <c r="I32" s="34">
        <v>58.582169999999998</v>
      </c>
      <c r="J32" s="34">
        <v>58.243819999999999</v>
      </c>
      <c r="K32" s="34">
        <v>58.131909999999998</v>
      </c>
      <c r="L32" s="34">
        <v>58.020420000000001</v>
      </c>
    </row>
    <row r="33" spans="1:12" x14ac:dyDescent="0.15">
      <c r="A33" s="34">
        <v>79</v>
      </c>
      <c r="B33" s="34">
        <v>69.622339999999994</v>
      </c>
      <c r="C33" s="34">
        <v>68.864580000000004</v>
      </c>
      <c r="D33" s="34">
        <v>68.491860000000003</v>
      </c>
      <c r="E33" s="34">
        <v>68.368510000000001</v>
      </c>
      <c r="F33" s="34">
        <v>68.245609999999999</v>
      </c>
      <c r="H33" s="34">
        <v>61.835949999999997</v>
      </c>
      <c r="I33" s="34">
        <v>61.119959999999999</v>
      </c>
      <c r="J33" s="34">
        <v>60.768140000000002</v>
      </c>
      <c r="K33" s="34">
        <v>60.651769999999999</v>
      </c>
      <c r="L33" s="34">
        <v>60.53584</v>
      </c>
    </row>
    <row r="34" spans="1:12" x14ac:dyDescent="0.15">
      <c r="A34" s="34">
        <v>80</v>
      </c>
      <c r="B34" s="34">
        <v>72.137709999999998</v>
      </c>
      <c r="C34" s="34">
        <v>71.382220000000004</v>
      </c>
      <c r="D34" s="34">
        <v>71.010379999999998</v>
      </c>
      <c r="E34" s="34">
        <v>70.887289999999993</v>
      </c>
      <c r="F34" s="34">
        <v>70.764629999999997</v>
      </c>
      <c r="H34" s="34">
        <v>64.449770000000001</v>
      </c>
      <c r="I34" s="34">
        <v>63.712719999999997</v>
      </c>
      <c r="J34" s="34">
        <v>63.350490000000001</v>
      </c>
      <c r="K34" s="34">
        <v>63.230649999999997</v>
      </c>
      <c r="L34" s="34">
        <v>63.111269999999998</v>
      </c>
    </row>
  </sheetData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A9B4E-E8AB-8F45-89BA-EC20DD4637F6}">
  <dimension ref="A1:L34"/>
  <sheetViews>
    <sheetView zoomScale="85" zoomScaleNormal="85" workbookViewId="0"/>
  </sheetViews>
  <sheetFormatPr baseColWidth="10" defaultColWidth="11.5" defaultRowHeight="13" x14ac:dyDescent="0.15"/>
  <cols>
    <col min="1" max="16384" width="11.5" style="34"/>
  </cols>
  <sheetData>
    <row r="1" spans="1:12" x14ac:dyDescent="0.15">
      <c r="A1" s="36" t="s">
        <v>125</v>
      </c>
    </row>
    <row r="2" spans="1:12" x14ac:dyDescent="0.15">
      <c r="A2" s="36"/>
      <c r="B2" s="34" t="s">
        <v>121</v>
      </c>
      <c r="H2" s="34" t="s">
        <v>120</v>
      </c>
    </row>
    <row r="3" spans="1:12" x14ac:dyDescent="0.15">
      <c r="A3" s="35"/>
      <c r="B3" s="34" t="s">
        <v>119</v>
      </c>
      <c r="C3" s="34" t="s">
        <v>118</v>
      </c>
      <c r="D3" s="34" t="s">
        <v>117</v>
      </c>
      <c r="E3" s="34" t="s">
        <v>116</v>
      </c>
      <c r="F3" s="34" t="s">
        <v>115</v>
      </c>
      <c r="H3" s="34" t="s">
        <v>119</v>
      </c>
      <c r="I3" s="34" t="s">
        <v>118</v>
      </c>
      <c r="J3" s="34" t="s">
        <v>117</v>
      </c>
      <c r="K3" s="34" t="s">
        <v>116</v>
      </c>
      <c r="L3" s="34" t="s">
        <v>115</v>
      </c>
    </row>
    <row r="4" spans="1:12" x14ac:dyDescent="0.15">
      <c r="A4" s="34">
        <v>50</v>
      </c>
      <c r="B4" s="34">
        <v>23.40353</v>
      </c>
      <c r="C4" s="34">
        <v>23.264610000000001</v>
      </c>
      <c r="D4" s="34">
        <v>23.200040000000001</v>
      </c>
      <c r="E4" s="34">
        <v>23.177160000000001</v>
      </c>
      <c r="F4" s="34">
        <v>23.154319999999998</v>
      </c>
      <c r="H4" s="34">
        <v>21.734470000000002</v>
      </c>
      <c r="I4" s="34">
        <v>21.61469</v>
      </c>
      <c r="J4" s="34">
        <v>21.555299999999999</v>
      </c>
      <c r="K4" s="34">
        <v>21.53557</v>
      </c>
      <c r="L4" s="34">
        <v>21.515879999999999</v>
      </c>
    </row>
    <row r="5" spans="1:12" x14ac:dyDescent="0.15">
      <c r="A5" s="34">
        <v>51</v>
      </c>
      <c r="B5" s="34">
        <v>23.900849999999998</v>
      </c>
      <c r="C5" s="34">
        <v>23.758669999999999</v>
      </c>
      <c r="D5" s="34">
        <v>23.686820000000001</v>
      </c>
      <c r="E5" s="34">
        <v>23.662970000000001</v>
      </c>
      <c r="F5" s="34">
        <v>23.63916</v>
      </c>
      <c r="H5" s="34">
        <v>22.17625</v>
      </c>
      <c r="I5" s="34">
        <v>22.051539999999999</v>
      </c>
      <c r="J5" s="34">
        <v>21.989709999999999</v>
      </c>
      <c r="K5" s="34">
        <v>21.969180000000001</v>
      </c>
      <c r="L5" s="34">
        <v>21.94669</v>
      </c>
    </row>
    <row r="6" spans="1:12" x14ac:dyDescent="0.15">
      <c r="A6" s="34">
        <v>52</v>
      </c>
      <c r="B6" s="34">
        <v>24.417760000000001</v>
      </c>
      <c r="C6" s="34">
        <v>24.267289999999999</v>
      </c>
      <c r="D6" s="34">
        <v>24.192319999999999</v>
      </c>
      <c r="E6" s="34">
        <v>24.16743</v>
      </c>
      <c r="F6" s="34">
        <v>24.142589999999998</v>
      </c>
      <c r="H6" s="34">
        <v>22.635169999999999</v>
      </c>
      <c r="I6" s="34">
        <v>22.505240000000001</v>
      </c>
      <c r="J6" s="34">
        <v>22.440840000000001</v>
      </c>
      <c r="K6" s="34">
        <v>22.419450000000001</v>
      </c>
      <c r="L6" s="34">
        <v>22.398099999999999</v>
      </c>
    </row>
    <row r="7" spans="1:12" x14ac:dyDescent="0.15">
      <c r="A7" s="34">
        <v>53</v>
      </c>
      <c r="B7" s="34">
        <v>24.95391</v>
      </c>
      <c r="C7" s="34">
        <v>24.795829999999999</v>
      </c>
      <c r="D7" s="34">
        <v>24.71754</v>
      </c>
      <c r="E7" s="34">
        <v>24.691549999999999</v>
      </c>
      <c r="F7" s="34">
        <v>24.665620000000001</v>
      </c>
      <c r="H7" s="34">
        <v>23.11223</v>
      </c>
      <c r="I7" s="34">
        <v>22.976759999999999</v>
      </c>
      <c r="J7" s="34">
        <v>22.90962</v>
      </c>
      <c r="K7" s="34">
        <v>22.887319999999999</v>
      </c>
      <c r="L7" s="34">
        <v>22.865069999999999</v>
      </c>
    </row>
    <row r="8" spans="1:12" x14ac:dyDescent="0.15">
      <c r="A8" s="34">
        <v>54</v>
      </c>
      <c r="B8" s="34">
        <v>25.510639999999999</v>
      </c>
      <c r="C8" s="34">
        <v>25.345410000000001</v>
      </c>
      <c r="D8" s="34">
        <v>25.2636</v>
      </c>
      <c r="E8" s="34">
        <v>25.236440000000002</v>
      </c>
      <c r="F8" s="34">
        <v>25.209350000000001</v>
      </c>
      <c r="H8" s="34">
        <v>23.60849</v>
      </c>
      <c r="I8" s="34">
        <v>23.467120000000001</v>
      </c>
      <c r="J8" s="34">
        <v>23.397079999999999</v>
      </c>
      <c r="K8" s="34">
        <v>23.373819999999998</v>
      </c>
      <c r="L8" s="34">
        <v>23.35061</v>
      </c>
    </row>
    <row r="9" spans="1:12" x14ac:dyDescent="0.15">
      <c r="A9" s="34">
        <v>55</v>
      </c>
      <c r="B9" s="34">
        <v>26.09009</v>
      </c>
      <c r="C9" s="34">
        <v>25.917249999999999</v>
      </c>
      <c r="D9" s="34">
        <v>25.831679999999999</v>
      </c>
      <c r="E9" s="34">
        <v>25.803290000000001</v>
      </c>
      <c r="F9" s="34">
        <v>25.77495</v>
      </c>
      <c r="H9" s="34">
        <v>24.125080000000001</v>
      </c>
      <c r="I9" s="34">
        <v>23.977450000000001</v>
      </c>
      <c r="J9" s="34">
        <v>23.904309999999999</v>
      </c>
      <c r="K9" s="34">
        <v>23.880030000000001</v>
      </c>
      <c r="L9" s="34">
        <v>23.855799999999999</v>
      </c>
    </row>
    <row r="10" spans="1:12" x14ac:dyDescent="0.15">
      <c r="A10" s="34">
        <v>56</v>
      </c>
      <c r="B10" s="34">
        <v>26.693570000000001</v>
      </c>
      <c r="C10" s="34">
        <v>26.512619999999998</v>
      </c>
      <c r="D10" s="34">
        <v>26.42306</v>
      </c>
      <c r="E10" s="34">
        <v>26.393339999999998</v>
      </c>
      <c r="F10" s="34">
        <v>26.363689999999998</v>
      </c>
      <c r="H10" s="34">
        <v>24.663180000000001</v>
      </c>
      <c r="I10" s="34">
        <v>24.508880000000001</v>
      </c>
      <c r="J10" s="34">
        <v>24.432459999999999</v>
      </c>
      <c r="K10" s="34">
        <v>24.40709</v>
      </c>
      <c r="L10" s="34">
        <v>24.390329999999999</v>
      </c>
    </row>
    <row r="11" spans="1:12" x14ac:dyDescent="0.15">
      <c r="A11" s="34">
        <v>57</v>
      </c>
      <c r="B11" s="34">
        <v>27.322489999999998</v>
      </c>
      <c r="C11" s="34">
        <v>27.13289</v>
      </c>
      <c r="D11" s="34">
        <v>27.039079999999998</v>
      </c>
      <c r="E11" s="34">
        <v>27.018080000000001</v>
      </c>
      <c r="F11" s="34">
        <v>26.986969999999999</v>
      </c>
      <c r="H11" s="34">
        <v>25.224070000000001</v>
      </c>
      <c r="I11" s="34">
        <v>25.062660000000001</v>
      </c>
      <c r="J11" s="34">
        <v>24.989989999999999</v>
      </c>
      <c r="K11" s="34">
        <v>24.963419999999999</v>
      </c>
      <c r="L11" s="34">
        <v>24.936920000000001</v>
      </c>
    </row>
    <row r="12" spans="1:12" x14ac:dyDescent="0.15">
      <c r="A12" s="34">
        <v>58</v>
      </c>
      <c r="B12" s="34">
        <v>27.978359999999999</v>
      </c>
      <c r="C12" s="34">
        <v>27.779530000000001</v>
      </c>
      <c r="D12" s="34">
        <v>27.688210000000002</v>
      </c>
      <c r="E12" s="34">
        <v>27.655539999999998</v>
      </c>
      <c r="F12" s="34">
        <v>27.62294</v>
      </c>
      <c r="H12" s="34">
        <v>25.809090000000001</v>
      </c>
      <c r="I12" s="34">
        <v>25.64575</v>
      </c>
      <c r="J12" s="34">
        <v>25.561979999999998</v>
      </c>
      <c r="K12" s="34">
        <v>25.534179999999999</v>
      </c>
      <c r="L12" s="34">
        <v>25.506440000000001</v>
      </c>
    </row>
    <row r="13" spans="1:12" x14ac:dyDescent="0.15">
      <c r="A13" s="34">
        <v>59</v>
      </c>
      <c r="B13" s="34">
        <v>28.662800000000001</v>
      </c>
      <c r="C13" s="34">
        <v>28.457360000000001</v>
      </c>
      <c r="D13" s="34">
        <v>28.354030000000002</v>
      </c>
      <c r="E13" s="34">
        <v>28.319749999999999</v>
      </c>
      <c r="F13" s="34">
        <v>28.28556</v>
      </c>
      <c r="H13" s="34">
        <v>26.41968</v>
      </c>
      <c r="I13" s="34">
        <v>26.246130000000001</v>
      </c>
      <c r="J13" s="34">
        <v>26.158380000000001</v>
      </c>
      <c r="K13" s="34">
        <v>26.129259999999999</v>
      </c>
      <c r="L13" s="34">
        <v>26.100200000000001</v>
      </c>
    </row>
    <row r="14" spans="1:12" x14ac:dyDescent="0.15">
      <c r="A14" s="34">
        <v>60</v>
      </c>
      <c r="B14" s="34">
        <v>29.376190000000001</v>
      </c>
      <c r="C14" s="34">
        <v>29.156739999999999</v>
      </c>
      <c r="D14" s="34">
        <v>29.04824</v>
      </c>
      <c r="E14" s="34">
        <v>29.012250000000002</v>
      </c>
      <c r="F14" s="34">
        <v>28.97635</v>
      </c>
      <c r="H14" s="34">
        <v>27.05743</v>
      </c>
      <c r="I14" s="34">
        <v>26.872630000000001</v>
      </c>
      <c r="J14" s="34">
        <v>26.780619999999999</v>
      </c>
      <c r="K14" s="34">
        <v>26.75009</v>
      </c>
      <c r="L14" s="34">
        <v>26.719629999999999</v>
      </c>
    </row>
    <row r="15" spans="1:12" x14ac:dyDescent="0.15">
      <c r="A15" s="34">
        <v>61</v>
      </c>
      <c r="B15" s="34">
        <v>30.117280000000001</v>
      </c>
      <c r="C15" s="34">
        <v>29.886569999999999</v>
      </c>
      <c r="D15" s="34">
        <v>29.772539999999999</v>
      </c>
      <c r="E15" s="34">
        <v>29.734719999999999</v>
      </c>
      <c r="F15" s="34">
        <v>29.696999999999999</v>
      </c>
      <c r="H15" s="34">
        <v>27.721959999999999</v>
      </c>
      <c r="I15" s="34">
        <v>27.526779999999999</v>
      </c>
      <c r="J15" s="34">
        <v>27.430219999999998</v>
      </c>
      <c r="K15" s="34">
        <v>27.39818</v>
      </c>
      <c r="L15" s="34">
        <v>27.366219999999998</v>
      </c>
    </row>
    <row r="16" spans="1:12" x14ac:dyDescent="0.15">
      <c r="A16" s="34">
        <v>62</v>
      </c>
      <c r="B16" s="34">
        <v>30.89161</v>
      </c>
      <c r="C16" s="34">
        <v>30.648849999999999</v>
      </c>
      <c r="D16" s="34">
        <v>30.5289</v>
      </c>
      <c r="E16" s="34">
        <v>30.48912</v>
      </c>
      <c r="F16" s="34">
        <v>30.449439999999999</v>
      </c>
      <c r="H16" s="34">
        <v>28.415230000000001</v>
      </c>
      <c r="I16" s="34">
        <v>28.210129999999999</v>
      </c>
      <c r="J16" s="34">
        <v>28.108689999999999</v>
      </c>
      <c r="K16" s="34">
        <v>28.075040000000001</v>
      </c>
      <c r="L16" s="34">
        <v>28.04147</v>
      </c>
    </row>
    <row r="17" spans="1:12" x14ac:dyDescent="0.15">
      <c r="A17" s="34">
        <v>63</v>
      </c>
      <c r="B17" s="34">
        <v>31.70148</v>
      </c>
      <c r="C17" s="34">
        <v>31.445779999999999</v>
      </c>
      <c r="D17" s="34">
        <v>31.319469999999999</v>
      </c>
      <c r="E17" s="34">
        <v>31.27759</v>
      </c>
      <c r="F17" s="34">
        <v>31.254059999999999</v>
      </c>
      <c r="H17" s="34">
        <v>29.14012</v>
      </c>
      <c r="I17" s="34">
        <v>28.924399999999999</v>
      </c>
      <c r="J17" s="34">
        <v>28.817730000000001</v>
      </c>
      <c r="K17" s="34">
        <v>28.782350000000001</v>
      </c>
      <c r="L17" s="34">
        <v>28.747060000000001</v>
      </c>
    </row>
    <row r="18" spans="1:12" x14ac:dyDescent="0.15">
      <c r="A18" s="34">
        <v>64</v>
      </c>
      <c r="B18" s="34">
        <v>32.549419999999998</v>
      </c>
      <c r="C18" s="34">
        <v>32.279809999999998</v>
      </c>
      <c r="D18" s="34">
        <v>32.158810000000003</v>
      </c>
      <c r="E18" s="34">
        <v>32.11459</v>
      </c>
      <c r="F18" s="34">
        <v>32.070489999999999</v>
      </c>
      <c r="H18" s="34">
        <v>29.89855</v>
      </c>
      <c r="I18" s="34">
        <v>29.671420000000001</v>
      </c>
      <c r="J18" s="34">
        <v>29.559149999999999</v>
      </c>
      <c r="K18" s="34">
        <v>29.521909999999998</v>
      </c>
      <c r="L18" s="34">
        <v>29.484770000000001</v>
      </c>
    </row>
    <row r="19" spans="1:12" x14ac:dyDescent="0.15">
      <c r="A19" s="34">
        <v>65</v>
      </c>
      <c r="B19" s="34">
        <v>33.437750000000001</v>
      </c>
      <c r="C19" s="34">
        <v>33.157539999999997</v>
      </c>
      <c r="D19" s="34">
        <v>33.016849999999998</v>
      </c>
      <c r="E19" s="34">
        <v>32.970219999999998</v>
      </c>
      <c r="F19" s="34">
        <v>32.923729999999999</v>
      </c>
      <c r="H19" s="34">
        <v>30.69257</v>
      </c>
      <c r="I19" s="34">
        <v>30.453189999999999</v>
      </c>
      <c r="J19" s="34">
        <v>30.334890000000001</v>
      </c>
      <c r="K19" s="34">
        <v>30.311409999999999</v>
      </c>
      <c r="L19" s="34">
        <v>30.272200000000002</v>
      </c>
    </row>
    <row r="20" spans="1:12" x14ac:dyDescent="0.15">
      <c r="A20" s="34">
        <v>66</v>
      </c>
      <c r="B20" s="34">
        <v>34.363549999999996</v>
      </c>
      <c r="C20" s="34">
        <v>34.062559999999998</v>
      </c>
      <c r="D20" s="34">
        <v>33.91404</v>
      </c>
      <c r="E20" s="34">
        <v>33.864809999999999</v>
      </c>
      <c r="F20" s="34">
        <v>33.815739999999998</v>
      </c>
      <c r="H20" s="34">
        <v>31.524370000000001</v>
      </c>
      <c r="I20" s="34">
        <v>31.271789999999999</v>
      </c>
      <c r="J20" s="34">
        <v>31.15841</v>
      </c>
      <c r="K20" s="34">
        <v>31.116959999999999</v>
      </c>
      <c r="L20" s="34">
        <v>31.07563</v>
      </c>
    </row>
    <row r="21" spans="1:12" x14ac:dyDescent="0.15">
      <c r="A21" s="34">
        <v>67</v>
      </c>
      <c r="B21" s="34">
        <v>35.327809999999999</v>
      </c>
      <c r="C21" s="34">
        <v>35.009610000000002</v>
      </c>
      <c r="D21" s="34">
        <v>34.852649999999997</v>
      </c>
      <c r="E21" s="34">
        <v>34.800640000000001</v>
      </c>
      <c r="F21" s="34">
        <v>34.74879</v>
      </c>
      <c r="H21" s="34">
        <v>32.396279999999997</v>
      </c>
      <c r="I21" s="34">
        <v>32.135390000000001</v>
      </c>
      <c r="J21" s="34">
        <v>32.003450000000001</v>
      </c>
      <c r="K21" s="34">
        <v>31.959700000000002</v>
      </c>
      <c r="L21" s="34">
        <v>31.916080000000001</v>
      </c>
    </row>
    <row r="22" spans="1:12" x14ac:dyDescent="0.15">
      <c r="A22" s="34">
        <v>68</v>
      </c>
      <c r="B22" s="34">
        <v>36.337899999999998</v>
      </c>
      <c r="C22" s="34">
        <v>36.001159999999999</v>
      </c>
      <c r="D22" s="34">
        <v>35.835120000000003</v>
      </c>
      <c r="E22" s="34">
        <v>35.780110000000001</v>
      </c>
      <c r="F22" s="34">
        <v>35.725270000000002</v>
      </c>
      <c r="H22" s="34">
        <v>33.309739999999998</v>
      </c>
      <c r="I22" s="34">
        <v>33.027320000000003</v>
      </c>
      <c r="J22" s="34">
        <v>32.887900000000002</v>
      </c>
      <c r="K22" s="34">
        <v>32.84169</v>
      </c>
      <c r="L22" s="34">
        <v>32.795610000000003</v>
      </c>
    </row>
    <row r="23" spans="1:12" x14ac:dyDescent="0.15">
      <c r="A23" s="34">
        <v>69</v>
      </c>
      <c r="B23" s="34">
        <v>37.396549999999998</v>
      </c>
      <c r="C23" s="34">
        <v>37.0398</v>
      </c>
      <c r="D23" s="34">
        <v>36.881390000000003</v>
      </c>
      <c r="E23" s="34">
        <v>36.823009999999996</v>
      </c>
      <c r="F23" s="34">
        <v>36.764809999999997</v>
      </c>
      <c r="H23" s="34">
        <v>34.260300000000001</v>
      </c>
      <c r="I23" s="34">
        <v>33.961460000000002</v>
      </c>
      <c r="J23" s="34">
        <v>33.813989999999997</v>
      </c>
      <c r="K23" s="34">
        <v>33.76511</v>
      </c>
      <c r="L23" s="34">
        <v>33.716380000000001</v>
      </c>
    </row>
    <row r="24" spans="1:12" x14ac:dyDescent="0.15">
      <c r="A24" s="34">
        <v>70</v>
      </c>
      <c r="B24" s="34">
        <v>38.506740000000001</v>
      </c>
      <c r="C24" s="34">
        <v>38.130200000000002</v>
      </c>
      <c r="D24" s="34">
        <v>37.943480000000001</v>
      </c>
      <c r="E24" s="34">
        <v>37.88165</v>
      </c>
      <c r="F24" s="34">
        <v>37.82002</v>
      </c>
      <c r="H24" s="34">
        <v>35.25676</v>
      </c>
      <c r="I24" s="34">
        <v>34.940199999999997</v>
      </c>
      <c r="J24" s="34">
        <v>34.784039999999997</v>
      </c>
      <c r="K24" s="34">
        <v>34.732300000000002</v>
      </c>
      <c r="L24" s="34">
        <v>34.680709999999998</v>
      </c>
    </row>
    <row r="25" spans="1:12" x14ac:dyDescent="0.15">
      <c r="A25" s="34">
        <v>71</v>
      </c>
      <c r="B25" s="34">
        <v>39.653329999999997</v>
      </c>
      <c r="C25" s="34">
        <v>39.251309999999997</v>
      </c>
      <c r="D25" s="34">
        <v>39.053350000000002</v>
      </c>
      <c r="E25" s="34">
        <v>38.9878</v>
      </c>
      <c r="F25" s="34">
        <v>38.92248</v>
      </c>
      <c r="H25" s="34">
        <v>36.301810000000003</v>
      </c>
      <c r="I25" s="34">
        <v>35.966119999999997</v>
      </c>
      <c r="J25" s="34">
        <v>35.80059</v>
      </c>
      <c r="K25" s="34">
        <v>35.745750000000001</v>
      </c>
      <c r="L25" s="34">
        <v>35.719909999999999</v>
      </c>
    </row>
    <row r="26" spans="1:12" x14ac:dyDescent="0.15">
      <c r="A26" s="34">
        <v>72</v>
      </c>
      <c r="B26" s="34">
        <v>40.850380000000001</v>
      </c>
      <c r="C26" s="34">
        <v>40.423549999999999</v>
      </c>
      <c r="D26" s="34">
        <v>40.213470000000001</v>
      </c>
      <c r="E26" s="34">
        <v>40.143920000000001</v>
      </c>
      <c r="F26" s="34">
        <v>40.074620000000003</v>
      </c>
      <c r="H26" s="34">
        <v>37.398310000000002</v>
      </c>
      <c r="I26" s="34">
        <v>37.041939999999997</v>
      </c>
      <c r="J26" s="34">
        <v>36.88456</v>
      </c>
      <c r="K26" s="34">
        <v>36.826230000000002</v>
      </c>
      <c r="L26" s="34">
        <v>36.768090000000001</v>
      </c>
    </row>
    <row r="27" spans="1:12" x14ac:dyDescent="0.15">
      <c r="A27" s="34">
        <v>73</v>
      </c>
      <c r="B27" s="34">
        <v>42.103670000000001</v>
      </c>
      <c r="C27" s="34">
        <v>41.650060000000003</v>
      </c>
      <c r="D27" s="34">
        <v>41.45008</v>
      </c>
      <c r="E27" s="34">
        <v>41.375999999999998</v>
      </c>
      <c r="F27" s="34">
        <v>41.30218</v>
      </c>
      <c r="H27" s="34">
        <v>38.549419999999998</v>
      </c>
      <c r="I27" s="34">
        <v>38.17492</v>
      </c>
      <c r="J27" s="34">
        <v>37.987969999999997</v>
      </c>
      <c r="K27" s="34">
        <v>37.92606</v>
      </c>
      <c r="L27" s="34">
        <v>37.864359999999998</v>
      </c>
    </row>
    <row r="28" spans="1:12" x14ac:dyDescent="0.15">
      <c r="A28" s="34">
        <v>74</v>
      </c>
      <c r="B28" s="34">
        <v>43.413179999999997</v>
      </c>
      <c r="C28" s="34">
        <v>42.929729999999999</v>
      </c>
      <c r="D28" s="34">
        <v>42.692030000000003</v>
      </c>
      <c r="E28" s="34">
        <v>42.613370000000003</v>
      </c>
      <c r="F28" s="34">
        <v>42.53501</v>
      </c>
      <c r="H28" s="34">
        <v>39.744450000000001</v>
      </c>
      <c r="I28" s="34">
        <v>39.341030000000003</v>
      </c>
      <c r="J28" s="34">
        <v>39.142380000000003</v>
      </c>
      <c r="K28" s="34">
        <v>39.076610000000002</v>
      </c>
      <c r="L28" s="34">
        <v>39.011060000000001</v>
      </c>
    </row>
    <row r="29" spans="1:12" x14ac:dyDescent="0.15">
      <c r="A29" s="34">
        <v>75</v>
      </c>
      <c r="B29" s="34">
        <v>44.75282</v>
      </c>
      <c r="C29" s="34">
        <v>44.238779999999998</v>
      </c>
      <c r="D29" s="34">
        <v>43.986170000000001</v>
      </c>
      <c r="E29" s="34">
        <v>43.9026</v>
      </c>
      <c r="F29" s="34">
        <v>43.81935</v>
      </c>
      <c r="H29" s="34">
        <v>40.990830000000003</v>
      </c>
      <c r="I29" s="34">
        <v>40.561529999999998</v>
      </c>
      <c r="J29" s="34">
        <v>40.350239999999999</v>
      </c>
      <c r="K29" s="34">
        <v>40.280299999999997</v>
      </c>
      <c r="L29" s="34">
        <v>40.210599999999999</v>
      </c>
    </row>
    <row r="30" spans="1:12" x14ac:dyDescent="0.15">
      <c r="A30" s="34">
        <v>76</v>
      </c>
      <c r="B30" s="34">
        <v>46.150730000000003</v>
      </c>
      <c r="C30" s="34">
        <v>45.603760000000001</v>
      </c>
      <c r="D30" s="34">
        <v>45.374940000000002</v>
      </c>
      <c r="E30" s="34">
        <v>45.285730000000001</v>
      </c>
      <c r="F30" s="34">
        <v>45.196869999999997</v>
      </c>
      <c r="H30" s="34">
        <v>42.296430000000001</v>
      </c>
      <c r="I30" s="34">
        <v>41.839149999999997</v>
      </c>
      <c r="J30" s="34">
        <v>41.652070000000002</v>
      </c>
      <c r="K30" s="34">
        <v>41.577330000000003</v>
      </c>
      <c r="L30" s="34">
        <v>41.502859999999998</v>
      </c>
    </row>
    <row r="31" spans="1:12" x14ac:dyDescent="0.15">
      <c r="A31" s="34">
        <v>77</v>
      </c>
      <c r="B31" s="34">
        <v>47.609940000000002</v>
      </c>
      <c r="C31" s="34">
        <v>47.026040000000002</v>
      </c>
      <c r="D31" s="34">
        <v>46.739429999999999</v>
      </c>
      <c r="E31" s="34">
        <v>46.644669999999998</v>
      </c>
      <c r="F31" s="34">
        <v>46.550289999999997</v>
      </c>
      <c r="H31" s="34">
        <v>43.664430000000003</v>
      </c>
      <c r="I31" s="34">
        <v>43.188040000000001</v>
      </c>
      <c r="J31" s="34">
        <v>42.947670000000002</v>
      </c>
      <c r="K31" s="34">
        <v>42.868139999999997</v>
      </c>
      <c r="L31" s="34">
        <v>42.788899999999998</v>
      </c>
    </row>
    <row r="32" spans="1:12" x14ac:dyDescent="0.15">
      <c r="A32" s="34">
        <v>78</v>
      </c>
      <c r="B32" s="34">
        <v>49.078850000000003</v>
      </c>
      <c r="C32" s="34">
        <v>48.457880000000003</v>
      </c>
      <c r="D32" s="34">
        <v>48.153239999999997</v>
      </c>
      <c r="E32" s="34">
        <v>48.052549999999997</v>
      </c>
      <c r="F32" s="34">
        <v>47.952269999999999</v>
      </c>
      <c r="H32" s="34">
        <v>45.073450000000001</v>
      </c>
      <c r="I32" s="34">
        <v>44.55245</v>
      </c>
      <c r="J32" s="34">
        <v>44.296430000000001</v>
      </c>
      <c r="K32" s="34">
        <v>44.211750000000002</v>
      </c>
      <c r="L32" s="34">
        <v>44.127389999999998</v>
      </c>
    </row>
    <row r="33" spans="1:12" x14ac:dyDescent="0.15">
      <c r="A33" s="34">
        <v>79</v>
      </c>
      <c r="B33" s="34">
        <v>50.606099999999998</v>
      </c>
      <c r="C33" s="34">
        <v>49.984079999999999</v>
      </c>
      <c r="D33" s="34">
        <v>49.658679999999997</v>
      </c>
      <c r="E33" s="34">
        <v>49.551160000000003</v>
      </c>
      <c r="F33" s="34">
        <v>49.444099999999999</v>
      </c>
      <c r="H33" s="34">
        <v>46.529260000000001</v>
      </c>
      <c r="I33" s="34">
        <v>45.973689999999998</v>
      </c>
      <c r="J33" s="34">
        <v>45.700850000000003</v>
      </c>
      <c r="K33" s="34">
        <v>45.61063</v>
      </c>
      <c r="L33" s="34">
        <v>45.52075</v>
      </c>
    </row>
    <row r="34" spans="1:12" x14ac:dyDescent="0.15">
      <c r="A34" s="34">
        <v>80</v>
      </c>
      <c r="B34" s="34">
        <v>52.166809999999998</v>
      </c>
      <c r="C34" s="34">
        <v>51.461910000000003</v>
      </c>
      <c r="D34" s="34">
        <v>51.11656</v>
      </c>
      <c r="E34" s="34">
        <v>51.002470000000002</v>
      </c>
      <c r="F34" s="34">
        <v>50.888890000000004</v>
      </c>
      <c r="H34" s="34">
        <v>48.048279999999998</v>
      </c>
      <c r="I34" s="34">
        <v>47.486649999999997</v>
      </c>
      <c r="J34" s="34">
        <v>47.19444</v>
      </c>
      <c r="K34" s="34">
        <v>47.097839999999998</v>
      </c>
      <c r="L34" s="34">
        <v>47.001629999999999</v>
      </c>
    </row>
  </sheetData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20F2F-EF9B-F44F-BE99-C268A1A4633D}">
  <dimension ref="A1:C23"/>
  <sheetViews>
    <sheetView zoomScale="85" zoomScaleNormal="85" workbookViewId="0"/>
  </sheetViews>
  <sheetFormatPr baseColWidth="10" defaultColWidth="11.5" defaultRowHeight="13" x14ac:dyDescent="0.15"/>
  <cols>
    <col min="1" max="1" width="11.5" style="34"/>
    <col min="2" max="3" width="14.83203125" style="34" customWidth="1"/>
    <col min="4" max="16384" width="11.5" style="34"/>
  </cols>
  <sheetData>
    <row r="1" spans="1:3" x14ac:dyDescent="0.15">
      <c r="A1" s="36" t="s">
        <v>126</v>
      </c>
    </row>
    <row r="2" spans="1:3" x14ac:dyDescent="0.15">
      <c r="A2" s="35"/>
      <c r="B2" s="34" t="s">
        <v>121</v>
      </c>
      <c r="C2" s="34" t="s">
        <v>120</v>
      </c>
    </row>
    <row r="3" spans="1:3" x14ac:dyDescent="0.15">
      <c r="A3" s="34">
        <v>50</v>
      </c>
      <c r="B3" s="34">
        <v>24.54618</v>
      </c>
      <c r="C3" s="34">
        <v>21.78022</v>
      </c>
    </row>
    <row r="4" spans="1:3" x14ac:dyDescent="0.15">
      <c r="A4" s="34">
        <v>51</v>
      </c>
      <c r="B4" s="34">
        <v>25.140879999999999</v>
      </c>
      <c r="C4" s="34">
        <v>22.250489999999999</v>
      </c>
    </row>
    <row r="5" spans="1:3" x14ac:dyDescent="0.15">
      <c r="A5" s="34">
        <v>52</v>
      </c>
      <c r="B5" s="34">
        <v>25.763390000000001</v>
      </c>
      <c r="C5" s="34">
        <v>22.740290000000002</v>
      </c>
    </row>
    <row r="6" spans="1:3" x14ac:dyDescent="0.15">
      <c r="A6" s="34">
        <v>53</v>
      </c>
      <c r="B6" s="34">
        <v>26.415500000000002</v>
      </c>
      <c r="C6" s="34">
        <v>23.25076</v>
      </c>
    </row>
    <row r="7" spans="1:3" x14ac:dyDescent="0.15">
      <c r="A7" s="34">
        <v>54</v>
      </c>
      <c r="B7" s="34">
        <v>27.09863</v>
      </c>
      <c r="C7" s="34">
        <v>23.78321</v>
      </c>
    </row>
    <row r="8" spans="1:3" x14ac:dyDescent="0.15">
      <c r="A8" s="34">
        <v>55</v>
      </c>
      <c r="B8" s="34">
        <v>27.815100000000001</v>
      </c>
      <c r="C8" s="34">
        <v>24.33925</v>
      </c>
    </row>
    <row r="9" spans="1:3" x14ac:dyDescent="0.15">
      <c r="A9" s="34">
        <v>56</v>
      </c>
      <c r="B9" s="34">
        <v>28.567360000000001</v>
      </c>
      <c r="C9" s="34">
        <v>24.921330000000001</v>
      </c>
    </row>
    <row r="10" spans="1:3" x14ac:dyDescent="0.15">
      <c r="A10" s="34">
        <v>57</v>
      </c>
      <c r="B10" s="34">
        <v>29.358260000000001</v>
      </c>
      <c r="C10" s="34">
        <v>25.53154</v>
      </c>
    </row>
    <row r="11" spans="1:3" x14ac:dyDescent="0.15">
      <c r="A11" s="34">
        <v>58</v>
      </c>
      <c r="B11" s="34">
        <v>30.19078</v>
      </c>
      <c r="C11" s="34">
        <v>26.172260000000001</v>
      </c>
    </row>
    <row r="12" spans="1:3" x14ac:dyDescent="0.15">
      <c r="A12" s="34">
        <v>59</v>
      </c>
      <c r="B12" s="34">
        <v>31.068639999999998</v>
      </c>
      <c r="C12" s="34">
        <v>26.846209999999999</v>
      </c>
    </row>
    <row r="13" spans="1:3" x14ac:dyDescent="0.15">
      <c r="A13" s="34">
        <v>60</v>
      </c>
      <c r="B13" s="34">
        <v>31.994910000000001</v>
      </c>
      <c r="C13" s="34">
        <v>27.555520000000001</v>
      </c>
    </row>
    <row r="14" spans="1:3" x14ac:dyDescent="0.15">
      <c r="A14" s="34">
        <v>61</v>
      </c>
      <c r="B14" s="34">
        <v>32.973100000000002</v>
      </c>
      <c r="C14" s="34">
        <v>28.303229999999999</v>
      </c>
    </row>
    <row r="15" spans="1:3" x14ac:dyDescent="0.15">
      <c r="A15" s="34">
        <v>62</v>
      </c>
      <c r="B15" s="34">
        <v>34.005220000000001</v>
      </c>
      <c r="C15" s="34">
        <v>29.09413</v>
      </c>
    </row>
    <row r="16" spans="1:3" x14ac:dyDescent="0.15">
      <c r="A16" s="34">
        <v>63</v>
      </c>
      <c r="B16" s="34">
        <v>35.09442</v>
      </c>
      <c r="C16" s="34">
        <v>29.931419999999999</v>
      </c>
    </row>
    <row r="17" spans="1:3" x14ac:dyDescent="0.15">
      <c r="A17" s="34">
        <v>64</v>
      </c>
      <c r="B17" s="34">
        <v>36.244250000000001</v>
      </c>
      <c r="C17" s="34">
        <v>30.818750000000001</v>
      </c>
    </row>
    <row r="18" spans="1:3" x14ac:dyDescent="0.15">
      <c r="A18" s="34">
        <v>65</v>
      </c>
      <c r="B18" s="34">
        <v>37.465510000000002</v>
      </c>
      <c r="C18" s="34">
        <v>31.760059999999999</v>
      </c>
    </row>
    <row r="19" spans="1:3" x14ac:dyDescent="0.15">
      <c r="A19" s="34">
        <v>66</v>
      </c>
      <c r="B19" s="34">
        <v>38.767000000000003</v>
      </c>
      <c r="C19" s="34">
        <v>32.759929999999997</v>
      </c>
    </row>
    <row r="20" spans="1:3" x14ac:dyDescent="0.15">
      <c r="A20" s="34">
        <v>67</v>
      </c>
      <c r="B20" s="34">
        <v>40.155279999999998</v>
      </c>
      <c r="C20" s="34">
        <v>33.823689999999999</v>
      </c>
    </row>
    <row r="21" spans="1:3" x14ac:dyDescent="0.15">
      <c r="A21" s="34">
        <v>68</v>
      </c>
      <c r="B21" s="34">
        <v>41.638750000000002</v>
      </c>
      <c r="C21" s="34">
        <v>34.957729999999998</v>
      </c>
    </row>
    <row r="22" spans="1:3" x14ac:dyDescent="0.15">
      <c r="A22" s="34">
        <v>69</v>
      </c>
      <c r="B22" s="34">
        <v>43.227989999999998</v>
      </c>
      <c r="C22" s="34">
        <v>36.168570000000003</v>
      </c>
    </row>
    <row r="23" spans="1:3" x14ac:dyDescent="0.15">
      <c r="A23" s="34">
        <v>70</v>
      </c>
      <c r="B23" s="34">
        <v>44.932679999999998</v>
      </c>
      <c r="C23" s="34">
        <v>37.463239999999999</v>
      </c>
    </row>
  </sheetData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Info e avvertimenti</vt:lpstr>
      <vt:lpstr>Simulatore</vt:lpstr>
      <vt:lpstr>Commenti e Caveat</vt:lpstr>
      <vt:lpstr>Calcolo Versamenti</vt:lpstr>
      <vt:lpstr>Calcoli Perseo</vt:lpstr>
      <vt:lpstr>Eta' assicurativa</vt:lpstr>
      <vt:lpstr>Opzione A</vt:lpstr>
      <vt:lpstr>Opzione B</vt:lpstr>
      <vt:lpstr>Opzione C</vt:lpstr>
      <vt:lpstr>Opzione E</vt:lpstr>
      <vt:lpstr>Opzione 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Giacomo Ortona</cp:lastModifiedBy>
  <dcterms:created xsi:type="dcterms:W3CDTF">2022-01-12T10:22:11Z</dcterms:created>
  <dcterms:modified xsi:type="dcterms:W3CDTF">2024-11-21T07:47:13Z</dcterms:modified>
</cp:coreProperties>
</file>