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mc:AlternateContent xmlns:mc="http://schemas.openxmlformats.org/markup-compatibility/2006">
    <mc:Choice Requires="x15">
      <x15ac:absPath xmlns:x15ac="http://schemas.microsoft.com/office/spreadsheetml/2010/11/ac" url="/Users/cibinett/Desktop/"/>
    </mc:Choice>
  </mc:AlternateContent>
  <xr:revisionPtr revIDLastSave="0" documentId="13_ncr:1_{D2F481C3-3B9F-8A4A-981C-3465351F3E4E}" xr6:coauthVersionLast="45" xr6:coauthVersionMax="45" xr10:uidLastSave="{00000000-0000-0000-0000-000000000000}"/>
  <bookViews>
    <workbookView xWindow="0" yWindow="460" windowWidth="28800" windowHeight="16660" tabRatio="987" activeTab="4" xr2:uid="{00000000-000D-0000-FFFF-FFFF00000000}"/>
  </bookViews>
  <sheets>
    <sheet name="FE" sheetId="6" r:id="rId1"/>
    <sheet name="LNF" sheetId="11" r:id="rId2"/>
    <sheet name="PG" sheetId="12" r:id="rId3"/>
    <sheet name="TO" sheetId="10" r:id="rId4"/>
    <sheet name="BESIII" sheetId="9" r:id="rId5"/>
  </sheets>
  <externalReferences>
    <externalReference r:id="rId6"/>
  </externalReferenc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G27" i="9" l="1"/>
  <c r="O18" i="9"/>
  <c r="N18" i="9"/>
  <c r="M18" i="9"/>
  <c r="L18" i="9"/>
  <c r="K18" i="9"/>
  <c r="J18" i="9"/>
  <c r="I18" i="9"/>
  <c r="H18" i="9"/>
  <c r="G18" i="9"/>
  <c r="F18" i="9"/>
  <c r="E25" i="9"/>
  <c r="E24" i="9"/>
  <c r="E23" i="9"/>
  <c r="D25" i="9"/>
  <c r="F17" i="9"/>
  <c r="D17" i="9"/>
  <c r="D16" i="9"/>
  <c r="D15" i="9"/>
  <c r="D14" i="9"/>
  <c r="E8" i="9"/>
  <c r="C8" i="9"/>
  <c r="G8" i="9"/>
  <c r="F8" i="9"/>
  <c r="D8" i="9"/>
  <c r="S58" i="11"/>
  <c r="U58" i="11" s="1"/>
  <c r="R58" i="11"/>
  <c r="T58" i="11" s="1"/>
  <c r="U50" i="11"/>
  <c r="T50" i="11"/>
  <c r="Q50" i="11"/>
  <c r="P50" i="11"/>
  <c r="L50" i="11"/>
  <c r="K50" i="11"/>
  <c r="U43" i="11"/>
  <c r="T43" i="11"/>
  <c r="L43" i="11"/>
  <c r="Q43" i="11" s="1"/>
  <c r="K43" i="11"/>
  <c r="P43" i="11" s="1"/>
  <c r="K37" i="11"/>
  <c r="U33" i="11"/>
  <c r="T33" i="11"/>
  <c r="L33" i="11"/>
  <c r="Q33" i="11" s="1"/>
  <c r="K33" i="11"/>
  <c r="P33" i="11" s="1"/>
  <c r="U32" i="11"/>
  <c r="T32" i="11"/>
  <c r="L32" i="11"/>
  <c r="Q32" i="11" s="1"/>
  <c r="K32" i="11"/>
  <c r="P32" i="11" s="1"/>
  <c r="Y29" i="11"/>
  <c r="X29" i="11"/>
  <c r="V29" i="11"/>
  <c r="J29" i="11"/>
  <c r="I29" i="11"/>
  <c r="H29" i="11"/>
  <c r="G29" i="11"/>
  <c r="F29" i="11"/>
  <c r="E29" i="11"/>
  <c r="Y28" i="11"/>
  <c r="X28" i="11"/>
  <c r="V28" i="11"/>
  <c r="J28" i="11"/>
  <c r="I28" i="11"/>
  <c r="H28" i="11"/>
  <c r="G28" i="11"/>
  <c r="F28" i="11"/>
  <c r="E28" i="11"/>
  <c r="Y27" i="11"/>
  <c r="X27" i="11"/>
  <c r="V27" i="11"/>
  <c r="J27" i="11"/>
  <c r="I27" i="11"/>
  <c r="H27" i="11"/>
  <c r="G27" i="11"/>
  <c r="F27" i="11"/>
  <c r="E27" i="11"/>
  <c r="Y26" i="11"/>
  <c r="X26" i="11"/>
  <c r="V26" i="11"/>
  <c r="J26" i="11"/>
  <c r="I26" i="11" s="1"/>
  <c r="H26" i="11"/>
  <c r="G26" i="11"/>
  <c r="F26" i="11"/>
  <c r="E26" i="11"/>
  <c r="Y25" i="11"/>
  <c r="X25" i="11"/>
  <c r="V25" i="11"/>
  <c r="J25" i="11"/>
  <c r="I25" i="11"/>
  <c r="H25" i="11"/>
  <c r="G25" i="11"/>
  <c r="F25" i="11"/>
  <c r="E25" i="11"/>
  <c r="Y24" i="11"/>
  <c r="X24" i="11"/>
  <c r="V24" i="11"/>
  <c r="J24" i="11"/>
  <c r="I24" i="11"/>
  <c r="H24" i="11"/>
  <c r="G24" i="11"/>
  <c r="F24" i="11"/>
  <c r="E24" i="11"/>
  <c r="Y23" i="11"/>
  <c r="V23" i="11" s="1"/>
  <c r="X23" i="11"/>
  <c r="H23" i="11"/>
  <c r="D23" i="11"/>
  <c r="Y22" i="11"/>
  <c r="X22" i="11"/>
  <c r="V22" i="11"/>
  <c r="H22" i="11"/>
  <c r="D22" i="11"/>
  <c r="Y21" i="11"/>
  <c r="X21" i="11"/>
  <c r="V21" i="11"/>
  <c r="H21" i="11"/>
  <c r="D21" i="11"/>
  <c r="Y19" i="11"/>
  <c r="V19" i="11" s="1"/>
  <c r="X19" i="11"/>
  <c r="H19" i="11"/>
  <c r="D19" i="11"/>
  <c r="N4" i="11" s="1"/>
  <c r="Y18" i="11"/>
  <c r="V18" i="11" s="1"/>
  <c r="X18" i="11"/>
  <c r="H18" i="11"/>
  <c r="D18" i="11"/>
  <c r="Y17" i="11"/>
  <c r="X17" i="11"/>
  <c r="V17" i="11"/>
  <c r="H17" i="11"/>
  <c r="D17" i="11"/>
  <c r="Y16" i="11"/>
  <c r="X16" i="11"/>
  <c r="V16" i="11"/>
  <c r="H16" i="11"/>
  <c r="D16" i="11"/>
  <c r="Y15" i="11"/>
  <c r="X15" i="11"/>
  <c r="V15" i="11"/>
  <c r="I15" i="11"/>
  <c r="H15" i="11"/>
  <c r="Y14" i="11"/>
  <c r="V14" i="11" s="1"/>
  <c r="X14" i="11"/>
  <c r="H14" i="11"/>
  <c r="I14" i="11" s="1"/>
  <c r="Y13" i="11"/>
  <c r="V13" i="11" s="1"/>
  <c r="X13" i="11"/>
  <c r="I13" i="11"/>
  <c r="H13" i="11"/>
  <c r="Y12" i="11"/>
  <c r="X12" i="11"/>
  <c r="V12" i="11"/>
  <c r="I12" i="11"/>
  <c r="H12" i="11"/>
  <c r="Y11" i="11"/>
  <c r="X11" i="11"/>
  <c r="V11" i="11"/>
  <c r="H11" i="11"/>
  <c r="I11" i="11" s="1"/>
  <c r="Y10" i="11"/>
  <c r="X10" i="11"/>
  <c r="V10" i="11"/>
  <c r="Y9" i="11"/>
  <c r="X9" i="11"/>
  <c r="V9" i="11"/>
  <c r="I9" i="11"/>
  <c r="H9" i="11"/>
  <c r="Y8" i="11"/>
  <c r="X8" i="11"/>
  <c r="V8" i="11"/>
  <c r="I8" i="11"/>
  <c r="H8" i="11"/>
  <c r="X7" i="11"/>
  <c r="V7" i="11" s="1"/>
  <c r="H7" i="11"/>
  <c r="I7" i="11" s="1"/>
  <c r="X6" i="11"/>
  <c r="V6" i="11" s="1"/>
  <c r="H6" i="11"/>
  <c r="I6" i="11" s="1"/>
  <c r="X5" i="11"/>
  <c r="V5" i="11" s="1"/>
  <c r="H5" i="11"/>
  <c r="I5" i="11" s="1"/>
  <c r="Y4" i="11"/>
  <c r="X4" i="11"/>
  <c r="V4" i="11"/>
  <c r="U4" i="11"/>
  <c r="T4" i="11"/>
  <c r="M4" i="11"/>
  <c r="I4" i="11"/>
  <c r="H4" i="11"/>
  <c r="K4" i="11" s="1"/>
  <c r="Z1" i="11"/>
  <c r="F21" i="11" s="1"/>
  <c r="X1" i="11"/>
  <c r="E23" i="11" s="1"/>
  <c r="S70" i="10"/>
  <c r="U70" i="10" s="1"/>
  <c r="R70" i="10"/>
  <c r="T70" i="10" s="1"/>
  <c r="U62" i="10"/>
  <c r="T62" i="10"/>
  <c r="Q62" i="10"/>
  <c r="P62" i="10"/>
  <c r="L62" i="10"/>
  <c r="K62" i="10"/>
  <c r="U55" i="10"/>
  <c r="T55" i="10"/>
  <c r="L55" i="10"/>
  <c r="Q55" i="10" s="1"/>
  <c r="K55" i="10"/>
  <c r="P55" i="10" s="1"/>
  <c r="U48" i="10"/>
  <c r="T48" i="10"/>
  <c r="L48" i="10"/>
  <c r="Q48" i="10" s="1"/>
  <c r="K48" i="10"/>
  <c r="P48" i="10" s="1"/>
  <c r="K47" i="10"/>
  <c r="U45" i="10"/>
  <c r="T45" i="10"/>
  <c r="Q45" i="10"/>
  <c r="K45" i="10"/>
  <c r="P45" i="10" s="1"/>
  <c r="U41" i="10"/>
  <c r="T41" i="10"/>
  <c r="Q41" i="10"/>
  <c r="P41" i="10"/>
  <c r="L41" i="10"/>
  <c r="K41" i="10"/>
  <c r="U40" i="10"/>
  <c r="T40" i="10"/>
  <c r="L40" i="10"/>
  <c r="Q40" i="10" s="1"/>
  <c r="K40" i="10"/>
  <c r="P40" i="10" s="1"/>
  <c r="Y37" i="10"/>
  <c r="X37" i="10"/>
  <c r="V37" i="10"/>
  <c r="J37" i="10"/>
  <c r="I37" i="10"/>
  <c r="H37" i="10"/>
  <c r="G37" i="10"/>
  <c r="F37" i="10"/>
  <c r="E37" i="10"/>
  <c r="Y36" i="10"/>
  <c r="X36" i="10"/>
  <c r="V36" i="10"/>
  <c r="J36" i="10"/>
  <c r="I36" i="10"/>
  <c r="H36" i="10"/>
  <c r="G36" i="10"/>
  <c r="F36" i="10"/>
  <c r="E36" i="10"/>
  <c r="Y35" i="10"/>
  <c r="X35" i="10"/>
  <c r="V35" i="10"/>
  <c r="J35" i="10"/>
  <c r="I35" i="10"/>
  <c r="H35" i="10"/>
  <c r="G35" i="10"/>
  <c r="F35" i="10"/>
  <c r="E35" i="10"/>
  <c r="Y34" i="10"/>
  <c r="X34" i="10"/>
  <c r="V34" i="10"/>
  <c r="J34" i="10"/>
  <c r="H34" i="10"/>
  <c r="I34" i="10" s="1"/>
  <c r="G34" i="10"/>
  <c r="F34" i="10"/>
  <c r="E34" i="10"/>
  <c r="Y33" i="10"/>
  <c r="X33" i="10"/>
  <c r="V33" i="10"/>
  <c r="J33" i="10"/>
  <c r="I33" i="10"/>
  <c r="H33" i="10"/>
  <c r="G33" i="10"/>
  <c r="F33" i="10"/>
  <c r="E33" i="10"/>
  <c r="Y32" i="10"/>
  <c r="X32" i="10"/>
  <c r="V32" i="10"/>
  <c r="H32" i="10"/>
  <c r="Y31" i="10"/>
  <c r="X31" i="10"/>
  <c r="V31" i="10"/>
  <c r="J31" i="10"/>
  <c r="I31" i="10"/>
  <c r="H31" i="10"/>
  <c r="G31" i="10"/>
  <c r="F31" i="10"/>
  <c r="E31" i="10"/>
  <c r="Y30" i="10"/>
  <c r="X30" i="10"/>
  <c r="V30" i="10"/>
  <c r="H30" i="10"/>
  <c r="D30" i="10"/>
  <c r="Y29" i="10"/>
  <c r="X29" i="10"/>
  <c r="V29" i="10"/>
  <c r="J29" i="10"/>
  <c r="I29" i="10"/>
  <c r="H29" i="10"/>
  <c r="G29" i="10"/>
  <c r="F29" i="10"/>
  <c r="E29" i="10"/>
  <c r="Y28" i="10"/>
  <c r="V28" i="10" s="1"/>
  <c r="X28" i="10"/>
  <c r="H28" i="10"/>
  <c r="F28" i="10"/>
  <c r="D28" i="10"/>
  <c r="Y27" i="10"/>
  <c r="V27" i="10" s="1"/>
  <c r="X27" i="10"/>
  <c r="H27" i="10"/>
  <c r="D27" i="10"/>
  <c r="F27" i="10" s="1"/>
  <c r="Y26" i="10"/>
  <c r="X26" i="10"/>
  <c r="V26" i="10"/>
  <c r="H26" i="10"/>
  <c r="D26" i="10"/>
  <c r="Y25" i="10"/>
  <c r="X25" i="10"/>
  <c r="V25" i="10"/>
  <c r="J25" i="10"/>
  <c r="I25" i="10"/>
  <c r="H25" i="10"/>
  <c r="G25" i="10"/>
  <c r="F25" i="10"/>
  <c r="E25" i="10"/>
  <c r="Y23" i="10"/>
  <c r="V23" i="10" s="1"/>
  <c r="X23" i="10"/>
  <c r="H23" i="10"/>
  <c r="D23" i="10"/>
  <c r="Y22" i="10"/>
  <c r="X22" i="10"/>
  <c r="V22" i="10"/>
  <c r="H22" i="10"/>
  <c r="F22" i="10"/>
  <c r="D22" i="10"/>
  <c r="E22" i="10" s="1"/>
  <c r="Y21" i="10"/>
  <c r="X21" i="10"/>
  <c r="V21" i="10"/>
  <c r="H21" i="10"/>
  <c r="D21" i="10"/>
  <c r="Y19" i="10"/>
  <c r="X19" i="10"/>
  <c r="V19" i="10"/>
  <c r="H19" i="10"/>
  <c r="D19" i="10"/>
  <c r="Y18" i="10"/>
  <c r="X18" i="10"/>
  <c r="V18" i="10"/>
  <c r="J18" i="10"/>
  <c r="I18" i="10"/>
  <c r="H18" i="10"/>
  <c r="G18" i="10"/>
  <c r="F18" i="10"/>
  <c r="E18" i="10"/>
  <c r="Y17" i="10"/>
  <c r="V17" i="10" s="1"/>
  <c r="X17" i="10"/>
  <c r="H17" i="10"/>
  <c r="F17" i="10"/>
  <c r="G17" i="10" s="1"/>
  <c r="J17" i="10" s="1"/>
  <c r="I17" i="10" s="1"/>
  <c r="E17" i="10"/>
  <c r="D17" i="10"/>
  <c r="Y16" i="10"/>
  <c r="V16" i="10" s="1"/>
  <c r="X16" i="10"/>
  <c r="H16" i="10"/>
  <c r="D16" i="10"/>
  <c r="F16" i="10" s="1"/>
  <c r="Y15" i="10"/>
  <c r="X15" i="10"/>
  <c r="V15" i="10"/>
  <c r="I15" i="10"/>
  <c r="H15" i="10"/>
  <c r="H14" i="10"/>
  <c r="Y13" i="10"/>
  <c r="V13" i="10" s="1"/>
  <c r="X13" i="10"/>
  <c r="H13" i="10"/>
  <c r="I13" i="10" s="1"/>
  <c r="Y12" i="10"/>
  <c r="V12" i="10" s="1"/>
  <c r="X12" i="10"/>
  <c r="I12" i="10"/>
  <c r="H12" i="10"/>
  <c r="Y11" i="10"/>
  <c r="X11" i="10"/>
  <c r="V11" i="10"/>
  <c r="I11" i="10"/>
  <c r="H11" i="10"/>
  <c r="Y10" i="10"/>
  <c r="X10" i="10"/>
  <c r="V10" i="10"/>
  <c r="H10" i="10"/>
  <c r="I10" i="10" s="1"/>
  <c r="Y9" i="10"/>
  <c r="X9" i="10"/>
  <c r="V9" i="10"/>
  <c r="I9" i="10"/>
  <c r="H9" i="10"/>
  <c r="X8" i="10"/>
  <c r="V8" i="10" s="1"/>
  <c r="H8" i="10"/>
  <c r="I8" i="10" s="1"/>
  <c r="X7" i="10"/>
  <c r="V7" i="10" s="1"/>
  <c r="H7" i="10"/>
  <c r="I7" i="10" s="1"/>
  <c r="X6" i="10"/>
  <c r="V6" i="10" s="1"/>
  <c r="H6" i="10"/>
  <c r="I6" i="10" s="1"/>
  <c r="X5" i="10"/>
  <c r="V5" i="10" s="1"/>
  <c r="H5" i="10"/>
  <c r="I5" i="10" s="1"/>
  <c r="Y4" i="10"/>
  <c r="X4" i="10"/>
  <c r="V4" i="10"/>
  <c r="U4" i="10"/>
  <c r="T4" i="10"/>
  <c r="M4" i="10"/>
  <c r="H4" i="10"/>
  <c r="K4" i="10" s="1"/>
  <c r="Z1" i="10"/>
  <c r="F32" i="10" s="1"/>
  <c r="X1" i="10"/>
  <c r="E27" i="10" s="1"/>
  <c r="O31" i="11" l="1"/>
  <c r="N31" i="11"/>
  <c r="O4" i="11"/>
  <c r="M31" i="11" s="1"/>
  <c r="K31" i="11"/>
  <c r="G16" i="11"/>
  <c r="J16" i="11" s="1"/>
  <c r="F18" i="11"/>
  <c r="F23" i="11"/>
  <c r="G23" i="11" s="1"/>
  <c r="J23" i="11" s="1"/>
  <c r="I23" i="11" s="1"/>
  <c r="F19" i="11"/>
  <c r="E16" i="11"/>
  <c r="G19" i="11"/>
  <c r="J19" i="11" s="1"/>
  <c r="I19" i="11" s="1"/>
  <c r="E21" i="11"/>
  <c r="G21" i="11" s="1"/>
  <c r="J21" i="11" s="1"/>
  <c r="I21" i="11" s="1"/>
  <c r="F16" i="11"/>
  <c r="E17" i="11"/>
  <c r="E22" i="11"/>
  <c r="E19" i="11"/>
  <c r="F17" i="11"/>
  <c r="G17" i="11" s="1"/>
  <c r="J17" i="11" s="1"/>
  <c r="I17" i="11" s="1"/>
  <c r="F22" i="11"/>
  <c r="G22" i="11" s="1"/>
  <c r="J22" i="11" s="1"/>
  <c r="I22" i="11" s="1"/>
  <c r="E18" i="11"/>
  <c r="G27" i="10"/>
  <c r="J27" i="10" s="1"/>
  <c r="I27" i="10" s="1"/>
  <c r="G22" i="10"/>
  <c r="J22" i="10" s="1"/>
  <c r="I22" i="10" s="1"/>
  <c r="E28" i="10"/>
  <c r="G28" i="10" s="1"/>
  <c r="J28" i="10" s="1"/>
  <c r="I28" i="10" s="1"/>
  <c r="I4" i="10"/>
  <c r="E23" i="10"/>
  <c r="F23" i="10"/>
  <c r="G23" i="10" s="1"/>
  <c r="J23" i="10" s="1"/>
  <c r="I23" i="10" s="1"/>
  <c r="E19" i="10"/>
  <c r="E30" i="10"/>
  <c r="F19" i="10"/>
  <c r="G19" i="10" s="1"/>
  <c r="J19" i="10" s="1"/>
  <c r="I19" i="10" s="1"/>
  <c r="E26" i="10"/>
  <c r="G26" i="10" s="1"/>
  <c r="J26" i="10" s="1"/>
  <c r="I26" i="10" s="1"/>
  <c r="F30" i="10"/>
  <c r="G30" i="10" s="1"/>
  <c r="J30" i="10" s="1"/>
  <c r="I30" i="10" s="1"/>
  <c r="N4" i="10"/>
  <c r="E21" i="10"/>
  <c r="F26" i="10"/>
  <c r="E32" i="10"/>
  <c r="G32" i="10" s="1"/>
  <c r="J32" i="10" s="1"/>
  <c r="I32" i="10" s="1"/>
  <c r="E16" i="10"/>
  <c r="G16" i="10" s="1"/>
  <c r="J16" i="10" s="1"/>
  <c r="F21" i="10"/>
  <c r="G21" i="10" s="1"/>
  <c r="J21" i="10" s="1"/>
  <c r="I21" i="10" s="1"/>
  <c r="Y14" i="6"/>
  <c r="D23" i="6"/>
  <c r="H23" i="6"/>
  <c r="D18" i="6"/>
  <c r="D22" i="6"/>
  <c r="D19" i="6"/>
  <c r="D21" i="6"/>
  <c r="D20" i="6"/>
  <c r="Y21" i="6"/>
  <c r="V21" i="6" s="1"/>
  <c r="X21" i="6"/>
  <c r="H24" i="6"/>
  <c r="D24" i="6"/>
  <c r="H21" i="6"/>
  <c r="I16" i="11" l="1"/>
  <c r="P4" i="11"/>
  <c r="K58" i="11"/>
  <c r="G18" i="11"/>
  <c r="J18" i="11" s="1"/>
  <c r="I18" i="11" s="1"/>
  <c r="L4" i="10"/>
  <c r="I16" i="10"/>
  <c r="O39" i="10"/>
  <c r="N39" i="10"/>
  <c r="O4" i="10"/>
  <c r="E23" i="6"/>
  <c r="F23" i="6"/>
  <c r="F24" i="6"/>
  <c r="G24" i="6" s="1"/>
  <c r="J24" i="6" s="1"/>
  <c r="I24" i="6" s="1"/>
  <c r="E24" i="6"/>
  <c r="F21" i="6"/>
  <c r="E21" i="6"/>
  <c r="E26" i="9"/>
  <c r="F27" i="9"/>
  <c r="C27" i="9"/>
  <c r="C18" i="9"/>
  <c r="L15" i="9"/>
  <c r="D24" i="9" s="1"/>
  <c r="O14" i="9"/>
  <c r="L14" i="9"/>
  <c r="J14" i="9"/>
  <c r="E14" i="9"/>
  <c r="E18" i="9" s="1"/>
  <c r="P58" i="11" l="1"/>
  <c r="K59" i="11"/>
  <c r="P59" i="11" s="1"/>
  <c r="L4" i="11"/>
  <c r="L31" i="11" s="1"/>
  <c r="M39" i="10"/>
  <c r="K39" i="10"/>
  <c r="L39" i="10"/>
  <c r="G23" i="6"/>
  <c r="J23" i="6" s="1"/>
  <c r="I23" i="6" s="1"/>
  <c r="G21" i="6"/>
  <c r="J21" i="6" s="1"/>
  <c r="I21" i="6" s="1"/>
  <c r="E27" i="9"/>
  <c r="D18" i="9"/>
  <c r="D23" i="9"/>
  <c r="D26" i="9"/>
  <c r="L58" i="11" l="1"/>
  <c r="Q4" i="11"/>
  <c r="L70" i="10"/>
  <c r="Q4" i="10"/>
  <c r="P4" i="10"/>
  <c r="K70" i="10"/>
  <c r="D27" i="9"/>
  <c r="Q58" i="11" l="1"/>
  <c r="L59" i="11"/>
  <c r="Q59" i="11" s="1"/>
  <c r="P70" i="10"/>
  <c r="K71" i="10"/>
  <c r="P71" i="10" s="1"/>
  <c r="Q70" i="10"/>
  <c r="L71" i="10"/>
  <c r="Q71" i="10" s="1"/>
  <c r="D17" i="6"/>
  <c r="X9" i="6"/>
  <c r="V9" i="6" s="1"/>
  <c r="S59" i="6" l="1"/>
  <c r="U59" i="6" s="1"/>
  <c r="R59" i="6"/>
  <c r="T59" i="6" s="1"/>
  <c r="U51" i="6"/>
  <c r="T51" i="6"/>
  <c r="Q51" i="6"/>
  <c r="P51" i="6"/>
  <c r="L51" i="6"/>
  <c r="K51" i="6"/>
  <c r="U44" i="6"/>
  <c r="T44" i="6"/>
  <c r="L44" i="6"/>
  <c r="Q44" i="6" s="1"/>
  <c r="K44" i="6"/>
  <c r="P44" i="6" s="1"/>
  <c r="K38" i="6"/>
  <c r="U34" i="6"/>
  <c r="T34" i="6"/>
  <c r="L34" i="6"/>
  <c r="Q34" i="6" s="1"/>
  <c r="K34" i="6"/>
  <c r="P34" i="6" s="1"/>
  <c r="U33" i="6"/>
  <c r="T33" i="6"/>
  <c r="L33" i="6"/>
  <c r="Q33" i="6" s="1"/>
  <c r="K33" i="6"/>
  <c r="P33" i="6" s="1"/>
  <c r="Y30" i="6"/>
  <c r="X30" i="6"/>
  <c r="V30" i="6"/>
  <c r="J30" i="6"/>
  <c r="I30" i="6"/>
  <c r="H30" i="6"/>
  <c r="G30" i="6"/>
  <c r="F30" i="6"/>
  <c r="E30" i="6"/>
  <c r="Y29" i="6"/>
  <c r="X29" i="6"/>
  <c r="V29" i="6"/>
  <c r="J29" i="6"/>
  <c r="I29" i="6"/>
  <c r="H29" i="6"/>
  <c r="G29" i="6"/>
  <c r="F29" i="6"/>
  <c r="E29" i="6"/>
  <c r="Y28" i="6"/>
  <c r="X28" i="6"/>
  <c r="V28" i="6"/>
  <c r="J28" i="6"/>
  <c r="I28" i="6"/>
  <c r="H28" i="6"/>
  <c r="G28" i="6"/>
  <c r="F28" i="6"/>
  <c r="E28" i="6"/>
  <c r="Y27" i="6"/>
  <c r="X27" i="6"/>
  <c r="V27" i="6"/>
  <c r="J27" i="6"/>
  <c r="H27" i="6"/>
  <c r="I27" i="6" s="1"/>
  <c r="G27" i="6"/>
  <c r="F27" i="6"/>
  <c r="E27" i="6"/>
  <c r="Y26" i="6"/>
  <c r="X26" i="6"/>
  <c r="V26" i="6"/>
  <c r="J26" i="6"/>
  <c r="I26" i="6"/>
  <c r="H26" i="6"/>
  <c r="G26" i="6"/>
  <c r="F26" i="6"/>
  <c r="E26" i="6"/>
  <c r="Y25" i="6"/>
  <c r="X25" i="6"/>
  <c r="V25" i="6"/>
  <c r="J25" i="6"/>
  <c r="I25" i="6"/>
  <c r="H25" i="6"/>
  <c r="G25" i="6"/>
  <c r="F25" i="6"/>
  <c r="E25" i="6"/>
  <c r="Y24" i="6"/>
  <c r="V24" i="6" s="1"/>
  <c r="X24" i="6"/>
  <c r="Y23" i="6"/>
  <c r="V23" i="6" s="1"/>
  <c r="X23" i="6"/>
  <c r="Y22" i="6"/>
  <c r="V22" i="6" s="1"/>
  <c r="X22" i="6"/>
  <c r="H22" i="6"/>
  <c r="Y20" i="6"/>
  <c r="V20" i="6" s="1"/>
  <c r="X20" i="6"/>
  <c r="H20" i="6"/>
  <c r="N4" i="6"/>
  <c r="Y19" i="6"/>
  <c r="V19" i="6" s="1"/>
  <c r="X19" i="6"/>
  <c r="H19" i="6"/>
  <c r="F19" i="6"/>
  <c r="G19" i="6" s="1"/>
  <c r="E19" i="6"/>
  <c r="Y18" i="6"/>
  <c r="V18" i="6" s="1"/>
  <c r="X18" i="6"/>
  <c r="H18" i="6"/>
  <c r="Y17" i="6"/>
  <c r="V17" i="6" s="1"/>
  <c r="X17" i="6"/>
  <c r="H17" i="6"/>
  <c r="F17" i="6"/>
  <c r="Y16" i="6"/>
  <c r="X16" i="6"/>
  <c r="V16" i="6"/>
  <c r="I16" i="6"/>
  <c r="H16" i="6"/>
  <c r="H15" i="6"/>
  <c r="I15" i="6" s="1"/>
  <c r="V14" i="6"/>
  <c r="X14" i="6"/>
  <c r="H14" i="6"/>
  <c r="I14" i="6" s="1"/>
  <c r="H13" i="6"/>
  <c r="I13" i="6" s="1"/>
  <c r="Y12" i="6"/>
  <c r="V12" i="6" s="1"/>
  <c r="X12" i="6"/>
  <c r="H12" i="6"/>
  <c r="I12" i="6" s="1"/>
  <c r="Y11" i="6"/>
  <c r="X11" i="6"/>
  <c r="V11" i="6"/>
  <c r="H10" i="6"/>
  <c r="I10" i="6" s="1"/>
  <c r="H9" i="6"/>
  <c r="I9" i="6" s="1"/>
  <c r="X8" i="6"/>
  <c r="V8" i="6" s="1"/>
  <c r="H8" i="6"/>
  <c r="I8" i="6" s="1"/>
  <c r="X7" i="6"/>
  <c r="V7" i="6" s="1"/>
  <c r="H7" i="6"/>
  <c r="I7" i="6" s="1"/>
  <c r="X5" i="6"/>
  <c r="V5" i="6" s="1"/>
  <c r="H5" i="6"/>
  <c r="I5" i="6" s="1"/>
  <c r="Y4" i="6"/>
  <c r="X4" i="6"/>
  <c r="V4" i="6" s="1"/>
  <c r="U4" i="6"/>
  <c r="T4" i="6"/>
  <c r="M4" i="6"/>
  <c r="H4" i="6"/>
  <c r="Z1" i="6"/>
  <c r="X1" i="6"/>
  <c r="K4" i="6" l="1"/>
  <c r="N32" i="6"/>
  <c r="O32" i="6"/>
  <c r="O4" i="6"/>
  <c r="M32" i="6" s="1"/>
  <c r="E20" i="6"/>
  <c r="F20" i="6"/>
  <c r="G20" i="6" s="1"/>
  <c r="J20" i="6" s="1"/>
  <c r="I20" i="6" s="1"/>
  <c r="I4" i="6"/>
  <c r="E17" i="6"/>
  <c r="G17" i="6" s="1"/>
  <c r="J17" i="6" s="1"/>
  <c r="E22" i="6"/>
  <c r="J19" i="6"/>
  <c r="I19" i="6" s="1"/>
  <c r="F22" i="6"/>
  <c r="G22" i="6" s="1"/>
  <c r="J22" i="6" s="1"/>
  <c r="I22" i="6" s="1"/>
  <c r="E18" i="6"/>
  <c r="F18" i="6"/>
  <c r="I17" i="6" l="1"/>
  <c r="G18" i="6"/>
  <c r="J18" i="6" s="1"/>
  <c r="K32" i="6"/>
  <c r="I18" i="6" l="1"/>
  <c r="L4" i="6"/>
  <c r="L32" i="6" s="1"/>
  <c r="K59" i="6"/>
  <c r="P4" i="6"/>
  <c r="L59" i="6" l="1"/>
  <c r="Q4" i="6"/>
  <c r="P59" i="6"/>
  <c r="K60" i="6"/>
  <c r="P60" i="6" s="1"/>
  <c r="Q59" i="6" l="1"/>
  <c r="L60" i="6"/>
  <c r="Q60" i="6" s="1"/>
</calcChain>
</file>

<file path=xl/sharedStrings.xml><?xml version="1.0" encoding="utf-8"?>
<sst xmlns="http://schemas.openxmlformats.org/spreadsheetml/2006/main" count="308" uniqueCount="141">
  <si>
    <t>g</t>
  </si>
  <si>
    <t>FTE</t>
  </si>
  <si>
    <t>FTE 2019</t>
  </si>
  <si>
    <t>RISE: Quota A/g</t>
  </si>
  <si>
    <t>RISE: Quota B/g</t>
  </si>
  <si>
    <t>Descrizione</t>
  </si>
  <si>
    <t>RISE / Acoordi internazionali</t>
  </si>
  <si>
    <t>Parziali</t>
  </si>
  <si>
    <t>Totale</t>
  </si>
  <si>
    <t>RISE/Accordi</t>
  </si>
  <si>
    <t>Totale/FTE</t>
  </si>
  <si>
    <t>Costo (k€)</t>
  </si>
  <si>
    <t>G @ IHEP</t>
  </si>
  <si>
    <t>Quota A (k€)</t>
  </si>
  <si>
    <t>Quota B1 (k€)</t>
  </si>
  <si>
    <t>Cofin INFN
(k€)</t>
  </si>
  <si>
    <t>Richiesta
Totale</t>
  </si>
  <si>
    <t>Richiesta</t>
  </si>
  <si>
    <t>SJ</t>
  </si>
  <si>
    <t>Costo</t>
  </si>
  <si>
    <t>MU</t>
  </si>
  <si>
    <t>Ritorno</t>
  </si>
  <si>
    <t>totale</t>
  </si>
  <si>
    <t>persone/viaggio</t>
  </si>
  <si>
    <t>totale singolo
Forfettario</t>
  </si>
  <si>
    <t>tot singolo
Misto</t>
  </si>
  <si>
    <t>eventi/anno</t>
  </si>
  <si>
    <t>viaggio</t>
  </si>
  <si>
    <t>fee</t>
  </si>
  <si>
    <t>diaria intera</t>
  </si>
  <si>
    <t>giorni interi</t>
  </si>
  <si>
    <t>diaria ridotta</t>
  </si>
  <si>
    <t>giorni ridotti</t>
  </si>
  <si>
    <t>albergo</t>
  </si>
  <si>
    <t>pasti</t>
  </si>
  <si>
    <t>quota Joint IHEP-INFN Fellow 2020</t>
  </si>
  <si>
    <t>Sj</t>
  </si>
  <si>
    <t>seminari</t>
  </si>
  <si>
    <t>consumo</t>
  </si>
  <si>
    <t>trasporti</t>
  </si>
  <si>
    <t>costruzione apparati</t>
  </si>
  <si>
    <t xml:space="preserve"> </t>
  </si>
  <si>
    <t>3.0</t>
  </si>
  <si>
    <t>missioni
NON
RISE</t>
  </si>
  <si>
    <t>meeting BESIII Italia: 3 meeting x (2gg) x 2pp</t>
  </si>
  <si>
    <t>partecipazione alle riunioni CSN1: 1riunioni/anno x (2gg + 1g viaggio) x 2pp</t>
  </si>
  <si>
    <t>Coordinamento FEST con CERN: 3meeting/anno x (2d) x 1p</t>
  </si>
  <si>
    <t>missioni RISE</t>
  </si>
  <si>
    <t xml:space="preserve">partecipazione ai BESIII Collaboraton Meeting e ai Physics &amp; Computing Workshops all’IHEP: 2meeting/anno x (7gg in Cina + 1g viaggio + fee) x 2p, altre persone a rotazione
</t>
  </si>
  <si>
    <t>turni di presa dati: 1periodo/persona/anno x (10d in Cina + viaggio) x 3p</t>
  </si>
  <si>
    <t>MI BESIII
(k€)</t>
  </si>
  <si>
    <t>MI FEST
SJ
(k€)</t>
  </si>
  <si>
    <t>Contrib.
FEST
(k€)</t>
  </si>
  <si>
    <t>AdR
FEST
(k€)</t>
  </si>
  <si>
    <t>altri consumi</t>
  </si>
  <si>
    <t>Totale richieste BESIII-LNF</t>
  </si>
  <si>
    <t>Totale richieste BESIII-LNF al netto del contributo RISE</t>
  </si>
  <si>
    <t>Totale 2020/FTE</t>
  </si>
  <si>
    <t>Totale 2020</t>
  </si>
  <si>
    <t xml:space="preserve">partecipazione ai BESIII Collaboraton Meeting e ai Physics &amp; Computing Workshops all’IHEP: 2meeting/anno x (7gg in Cina + 1g viaggio + fee) x 2p, Bertani è membro dell'International Bureau, Felici resp. sistemi HV/LV CGEM
</t>
  </si>
  <si>
    <t xml:space="preserve">RICHIESTE 2021 – BESIII LNF 4 persone(+ Rinaldo Baldini ass.senior+2 tecnici) , 2.9 FTE – per FEST:  LNF+PG 6 persone, 3.4FTE </t>
  </si>
  <si>
    <t>riunioni di coordinamento software/fisica con i colleghi di FE e TO: 3riunioni/anno x (2gg + viaggio) x 1pp (a rotazione)</t>
  </si>
  <si>
    <t>partecipazione ai BESIII Collaboraton Meeting e ai Physics &amp; Computing Workshops NON all’IHEP: 2meeting/anno x (7gg in Cina + 1g viaggio + fee) x 1p, altre persone</t>
  </si>
  <si>
    <t>partecipazione ai BESIII Collaboraton Meeting e ai Physics &amp; Computing Workshops NON all’IHEP: 2meeting/anno x (7gg in Cina + 1g viaggio + fee) x 2p. Bertani è membro dell'International Bureau, Felici resp. sistemi HV/LV CGEM</t>
  </si>
  <si>
    <t>gas flussaggio prototipi di test</t>
  </si>
  <si>
    <t xml:space="preserve">metabolismo (1.5k x 3FTE) </t>
  </si>
  <si>
    <t>maintenance CGEM e test, mesi 1-4: 1 periodi 2w x (15gg in Cina + 1g viaggio) x 2p</t>
  </si>
  <si>
    <t>CGEM integration, mesi 4-8: 1 periodi 2w x (15gg in Cina + 1g viaggio) x 2p</t>
  </si>
  <si>
    <t>commissioning e cosmic, run mesi 8-12: 1 periodi 2w x (15gg in Cina + 1g viaggio) x 2p</t>
  </si>
  <si>
    <t>partecipazione all'Internat. CGEM-IT Review Committee(IHEP) di G.Bencivenni 1 riunione/anno x (5gg + 1g viaggio) x 1pp</t>
  </si>
  <si>
    <t>partecipazione all'Internat. CGEM-IT Review Committee (IHEP) di P.DeSimone e D.Domenici  1riunione/anno x (5gg + 1g viaggio) x 2pp</t>
  </si>
  <si>
    <t xml:space="preserve">metabolismo (1.5k x 5.9FTE) </t>
  </si>
  <si>
    <t>riunioni di coordinamento CGEM con i colleghi di TO e LNF: 4 riunioni/anno x (2gg + viaggio) x 2pp (a rotazione)</t>
  </si>
  <si>
    <t>riunioni di coordinamento software/fisica con i colleghi di LNF e TO: 3riunioni/anno x (2gg + viaggio) x 2pp (a rotazione Garzia, Mezzadri, Scodeggio, Cibinetto)</t>
  </si>
  <si>
    <t>partecipazione alle riunioni CSN1: 2 riunioni/anno x (2gg + 1g viaggio) x 1pp (Garzia responsabile software CGEM)</t>
  </si>
  <si>
    <t>meeting BESIII Italia: 3 meeting x (2gg) x 5pp</t>
  </si>
  <si>
    <t>partecipazione ai BESIII Collaboraton Meeting e ai Physics &amp; Computing Workshops NON all’IHEP: 2meeting/anno x (7gg in Cina + 1g viaggio + fee) x 5p.</t>
  </si>
  <si>
    <t xml:space="preserve">partecipazione ai BESIII Collaboraton Meeting e ai Physics &amp; Computing Workshops all’IHEP: 2meeting/anno x (7gg in Cina + 1g viaggio + fee) x 5p
</t>
  </si>
  <si>
    <t>turni di presa dati: 1periodo/persona/anno x (10d in Cina + viaggio) x 5p</t>
  </si>
  <si>
    <t>commissioning e cosmic, run mesi 8-12: 4 periodi 2w x (15gg in Cina + 1g viaggio) x 2p</t>
  </si>
  <si>
    <t>maintenance CGEM e test, mesi 1-4: 4 periodi 2w x (15gg in Cina + 1g viaggio) x 4p</t>
  </si>
  <si>
    <t>CGEM integration, mesi 4-8: 4 periodi 2w x (15gg in Cina + 1g viaggio) x 4p</t>
  </si>
  <si>
    <t>Totale richieste BESIII-FE</t>
  </si>
  <si>
    <t>Totale richieste BESIII-FE al netto del contributo RISE</t>
  </si>
  <si>
    <t>RICHIESTE 2021 – BESIII – 13 ricercatori +  8 tecnologi (ass. Senior Giraudo) + 5(?) tecnici – FTE includono 0.1FTE in sigla affine FEST per Maggiora</t>
  </si>
  <si>
    <t>\</t>
  </si>
  <si>
    <t>Totale 2019</t>
  </si>
  <si>
    <t>Totale 2019/FTE</t>
  </si>
  <si>
    <t>riunioni di coordinamento CGEM con i colleghi di FE e LNF: 4 riunioni/anno x (2gg + viaggio) x 3pp (a rotazione tra Maggiora, Greco, Rolo, Rivetti)</t>
  </si>
  <si>
    <t>riunioni di coordinamento software/fisica con i colleghi di FE e LNF: 3riunioni/anno x (2gg + viaggio) x 4pp (a rotazione tra Amoroso, Bagnasco, Bianchi, De Mori, Destefanis, Lavezzi, Maggiora,, Spataro)</t>
  </si>
  <si>
    <t>4 periodi da 1 settimana di lavoro fuori sede di un PostDoc e/o di un dottorando per sviluppo sw e simulazioni presso LNF e FE: 4periodi/anno x (5gg + 1g viaggio) x 1p</t>
  </si>
  <si>
    <t>meeting BESIII Italia: 3 meeting x (2gg) x 10pp</t>
  </si>
  <si>
    <t>partecipazione ai BESIII Collaboraton Meeting e ai Physics &amp; Computing Workshops NON all’IHEP: 2meeting/anno x (7gg in Cina + 1g viaggio + fee) x 6p
(Maggiora è membro dell'Executive Board e Presidente del Nominating Committee, Bianchi  membro Speaker Board, De Mori coord. del CIF, Greco resp. elettronica CGEM,  Rolo resp. microelettronica (TIGER), Giraudo resp. cooling, Lavezzi resp. CGEM quality control. Spataro coord. SW CGEM)</t>
  </si>
  <si>
    <t>partecipazione ai BESIII Collaboraton Meeting e ai Physics &amp; Computing Workshops NON all’IHEP: 2meeting/anno x (7gg in Cina + 1g viaggio + fee) x 4p
(altre persone)</t>
  </si>
  <si>
    <t>Missioni
Con contributo
RISE</t>
  </si>
  <si>
    <t>partecipazione ai BESIII Collaboraton Meeting e ai Physics &amp; Computing Workshops all’IHEP: 2meeting/anno x (7gg in Cina + 1g viaggio + fee) x 9p
(altre persone)</t>
  </si>
  <si>
    <t>turni di presa dati: 7periodo/persona/anno x (10gg in Cina + 1 viaggio) x 1p</t>
  </si>
  <si>
    <t>8 periodi da 2 settimane di lavoro fuori sede di un PhD, PostDoc, e Ricercatore per sviluppo sw e simulazioni e analisi presso IHEP. 8periodi/anno x (15gg + 1g viaggio) x 1p</t>
  </si>
  <si>
    <t xml:space="preserve">mantenimento integrazione CLOUD TO con IHEP: 2meeting/anno x (4gg in Cina + 1g viaggio) x 1p </t>
  </si>
  <si>
    <t>sviluppo tool computing con IHEP: 3 periodi da 2 settimane di lavoro fuori sede per un PhD e un PostDoc ciascuno, per sviluppo tool con IHEP. 2 periodi/anno x (15gg + 1g viaggio) x 1p</t>
  </si>
  <si>
    <t>sviluppo applicazioni medicali FEST con IHEP: 4 periodi da 2 settimane di lavoro fuori sede per un PhD e un PostDoc ciascuno, per cartterizzazione, test e validazione FEE per applicazioni medicali. 4 periodi/anno x (15gg + 1g viaggio) x 1p</t>
  </si>
  <si>
    <t>supporto attività direzione Joint IHEP-INFN Laboratory</t>
  </si>
  <si>
    <t>quota Joint IHEP-INFN Fellow 2021</t>
  </si>
  <si>
    <t>COMPILAZIONE PREVENTIVI MISSIONI 2021</t>
  </si>
  <si>
    <t>inventario</t>
  </si>
  <si>
    <t>licenze-sw</t>
  </si>
  <si>
    <t>contributo licenze Synopsys e Mentor Graphics per attività (micro)elettronica</t>
  </si>
  <si>
    <t>licence Labview: contributo alla sezione</t>
  </si>
  <si>
    <t>metabolismo (1.5k€/FTE)</t>
  </si>
  <si>
    <t>sistema interlock SW ( acquisto sensori + arduini) per rafforzamento controllo remoto</t>
  </si>
  <si>
    <t>acquisto raccordi\tubi\lampade UV montaggio sistema finale</t>
  </si>
  <si>
    <t>test-board per prove applicabilità TIGER (WP FEST)</t>
  </si>
  <si>
    <t>trasporto L3 all’IHEP (SJ alla restituzione dei fondi 2020 in caso di trasporto rinviato al 2021)</t>
  </si>
  <si>
    <t>Totale richieste BESIII-TO</t>
  </si>
  <si>
    <t>Totale richieste BESIII-TO al netto del contributo RISE</t>
  </si>
  <si>
    <t>Sede</t>
  </si>
  <si>
    <t>Missioni 2020</t>
  </si>
  <si>
    <t>Richieste</t>
  </si>
  <si>
    <t>FE</t>
  </si>
  <si>
    <t>LNF</t>
  </si>
  <si>
    <t>PG-DTZ</t>
  </si>
  <si>
    <t>TO</t>
  </si>
  <si>
    <t>TOT BESIII</t>
  </si>
  <si>
    <t>Missioni 2021</t>
  </si>
  <si>
    <t>Consumi</t>
  </si>
  <si>
    <t>apparati</t>
  </si>
  <si>
    <t>kE</t>
  </si>
  <si>
    <t>Missioni Italia</t>
  </si>
  <si>
    <t>CGEM integration, mesi 4-8: 2 periodi di 3w x (21gg in Cina + 1g viaggio) x 2p</t>
  </si>
  <si>
    <t>CGEM integration, mesi 4-8: 2 periodi di 2w x (15gg in Cina + 1g viaggio) x 3p</t>
  </si>
  <si>
    <t>maintenance CGEM e test, mesi 1-4: 2 periodi di 2w x (15gg in Cina + 1g viaggio) x 3p</t>
  </si>
  <si>
    <t>commissioning e cosmic, run mesi 8-12: 3 periodi 2w x (15gg in Cina + 1g viaggio) x 3p</t>
  </si>
  <si>
    <t>4 periodi di 1 settimana di lavoro fuori sede di un PostDoc (Farinelli) per sviluppo sw e simulazioni presso TO: 2periodi/anno x (5d + viaggio) x 1p</t>
  </si>
  <si>
    <t>maintenance CGEM e test, mesi 1-4: 2 periodi di 3w x (21gg in Cina + 1g viaggio) x 2p</t>
  </si>
  <si>
    <t>test di inserimento meccanico partecipazione Melchiorri resp design detector, Evangelisti resp. tooling di installazione</t>
  </si>
  <si>
    <t>Trasporto a Pechino moduli ancillari elettronica off detector</t>
  </si>
  <si>
    <t>partecipazione ai BESIII Collaboraton Meeting e ai Physics &amp; Computing Workshops all’IHEP: 2meeting/anno x (7gg in Cina + 1g viaggio + fee) x 7p
(Maggiora è membro dell'Executive Board e Presidente del Nominating Committee, Bianchi  membro Speaker Board, De Mori coord. del CIF, Greco resp. elettronica CGEM,  Rolo resp. microelettronica (TIGER), Giraudo resp. cooling, Lavezzi resp. CGEM quality control. Spataro coord. SW CGEM)</t>
  </si>
  <si>
    <t>riunioni di coordinamento CGEM con i colleghi di FE e TO: 4 riunioni/anno x (2gg + viaggio) x 2pp (a rotazione)</t>
  </si>
  <si>
    <t>Missioni estero</t>
  </si>
  <si>
    <t>PG</t>
  </si>
  <si>
    <t>Totale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</si>
</sst>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0"/>
      <name val="Arial"/>
      <family val="2"/>
    </font>
    <font>
      <sz val="10"/>
      <name val="Times New Roman"/>
      <family val="1"/>
      <charset val="1"/>
    </font>
    <font>
      <b/>
      <sz val="10"/>
      <name val="Times New Roman"/>
      <family val="1"/>
      <charset val="1"/>
    </font>
    <font>
      <b/>
      <i/>
      <u/>
      <sz val="10"/>
      <color rgb="FF004586"/>
      <name val="Arial"/>
      <family val="2"/>
      <charset val="1"/>
    </font>
    <font>
      <b/>
      <sz val="10"/>
      <color rgb="FF004586"/>
      <name val="Arial"/>
      <family val="2"/>
      <charset val="1"/>
    </font>
    <font>
      <b/>
      <sz val="10"/>
      <color rgb="FF009900"/>
      <name val="Arial"/>
      <family val="2"/>
      <charset val="1"/>
    </font>
    <font>
      <b/>
      <sz val="10"/>
      <color rgb="FF009933"/>
      <name val="Arial"/>
      <family val="2"/>
      <charset val="1"/>
    </font>
    <font>
      <b/>
      <sz val="10"/>
      <color rgb="FF009900"/>
      <name val="Times New Roman"/>
      <family val="1"/>
      <charset val="1"/>
    </font>
    <font>
      <b/>
      <sz val="12"/>
      <color theme="0"/>
      <name val="Calibri"/>
      <family val="2"/>
      <scheme val="minor"/>
    </font>
    <font>
      <b/>
      <sz val="12"/>
      <color theme="1"/>
      <name val="Calibri"/>
      <family val="2"/>
      <scheme val="minor"/>
    </font>
    <font>
      <sz val="10"/>
      <name val="Arial"/>
      <family val="2"/>
      <charset val="1"/>
    </font>
    <font>
      <b/>
      <sz val="12"/>
      <color theme="0"/>
      <name val="Arial"/>
      <family val="2"/>
    </font>
    <font>
      <sz val="12"/>
      <name val="Arial"/>
      <family val="2"/>
    </font>
    <font>
      <b/>
      <sz val="12"/>
      <color rgb="FFC00000"/>
      <name val="Calibri"/>
      <family val="2"/>
      <scheme val="minor"/>
    </font>
    <font>
      <b/>
      <sz val="12"/>
      <color rgb="FFC00000"/>
      <name val="Arial"/>
      <family val="2"/>
    </font>
    <font>
      <b/>
      <sz val="12"/>
      <color theme="1"/>
      <name val="Arial"/>
      <family val="2"/>
    </font>
  </fonts>
  <fills count="6">
    <fill>
      <patternFill patternType="none"/>
    </fill>
    <fill>
      <patternFill patternType="gray125"/>
    </fill>
    <fill>
      <patternFill patternType="solid">
        <fgColor theme="5"/>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2" tint="-9.9978637043366805E-2"/>
        <bgColor indexed="64"/>
      </patternFill>
    </fill>
  </fills>
  <borders count="12">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s>
  <cellStyleXfs count="2">
    <xf numFmtId="0" fontId="0" fillId="0" borderId="0"/>
    <xf numFmtId="0" fontId="10" fillId="0" borderId="0"/>
  </cellStyleXfs>
  <cellXfs count="113">
    <xf numFmtId="0" fontId="0" fillId="0" borderId="0" xfId="0"/>
    <xf numFmtId="0" fontId="0" fillId="0" borderId="0" xfId="0" applyFont="1" applyAlignment="1">
      <alignment horizontal="center" vertical="center" wrapText="1"/>
    </xf>
    <xf numFmtId="49" fontId="1" fillId="0" borderId="0" xfId="0" applyNumberFormat="1" applyFont="1" applyAlignment="1">
      <alignment horizontal="justify" vertical="center" wrapText="1"/>
    </xf>
    <xf numFmtId="0" fontId="0" fillId="0" borderId="0" xfId="0" applyFont="1"/>
    <xf numFmtId="164" fontId="0"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justify" vertical="center" wrapText="1"/>
    </xf>
    <xf numFmtId="2" fontId="0" fillId="0" borderId="0" xfId="0" applyNumberFormat="1" applyAlignment="1">
      <alignment horizontal="center" vertical="center" wrapText="1"/>
    </xf>
    <xf numFmtId="0" fontId="1" fillId="0" borderId="0" xfId="0" applyFont="1" applyAlignment="1">
      <alignment horizontal="justify" vertical="center" wrapText="1"/>
    </xf>
    <xf numFmtId="2"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2" fontId="6"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0" fillId="0" borderId="0" xfId="0" applyAlignment="1">
      <alignment horizontal="justify" vertical="center" wrapText="1"/>
    </xf>
    <xf numFmtId="49" fontId="2" fillId="0" borderId="0" xfId="0" applyNumberFormat="1" applyFont="1" applyAlignment="1">
      <alignment horizontal="justify" vertical="center" wrapText="1"/>
    </xf>
    <xf numFmtId="49" fontId="7" fillId="0" borderId="0" xfId="0" applyNumberFormat="1" applyFont="1" applyAlignment="1">
      <alignment horizontal="justify" vertical="center" wrapText="1"/>
    </xf>
    <xf numFmtId="2" fontId="5"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0" fontId="0" fillId="0" borderId="0" xfId="0" applyFont="1" applyBorder="1" applyAlignment="1">
      <alignment horizontal="center" vertical="center" wrapText="1"/>
    </xf>
    <xf numFmtId="2" fontId="0" fillId="0" borderId="0" xfId="0" applyNumberFormat="1" applyBorder="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wrapText="1"/>
    </xf>
    <xf numFmtId="164" fontId="10" fillId="0" borderId="0" xfId="1" applyNumberFormat="1" applyAlignment="1">
      <alignment horizontal="center" vertical="center" wrapText="1"/>
    </xf>
    <xf numFmtId="0" fontId="10" fillId="0" borderId="0" xfId="1"/>
    <xf numFmtId="49" fontId="1" fillId="0" borderId="0" xfId="1" applyNumberFormat="1" applyFont="1" applyAlignment="1">
      <alignment horizontal="justify" vertical="center" wrapText="1"/>
    </xf>
    <xf numFmtId="0" fontId="1" fillId="0" borderId="0" xfId="1" applyFont="1" applyAlignment="1">
      <alignment horizontal="justify" vertical="center" wrapText="1"/>
    </xf>
    <xf numFmtId="2" fontId="3" fillId="0" borderId="0" xfId="1" applyNumberFormat="1" applyFont="1" applyAlignment="1">
      <alignment horizontal="center" vertical="center" wrapText="1"/>
    </xf>
    <xf numFmtId="1" fontId="3" fillId="0" borderId="0" xfId="1" applyNumberFormat="1" applyFont="1" applyAlignment="1">
      <alignment horizontal="center" vertical="center" wrapText="1"/>
    </xf>
    <xf numFmtId="2" fontId="4" fillId="0" borderId="0" xfId="1" applyNumberFormat="1" applyFont="1" applyAlignment="1">
      <alignment horizontal="center" vertical="center" wrapText="1"/>
    </xf>
    <xf numFmtId="1" fontId="4" fillId="0" borderId="0" xfId="1" applyNumberFormat="1" applyFont="1" applyAlignment="1">
      <alignment horizontal="center" vertical="center" wrapText="1"/>
    </xf>
    <xf numFmtId="2" fontId="6" fillId="0" borderId="0" xfId="1" applyNumberFormat="1" applyFont="1" applyAlignment="1">
      <alignment horizontal="center" vertical="center" wrapText="1"/>
    </xf>
    <xf numFmtId="49" fontId="1" fillId="0" borderId="0" xfId="1" applyNumberFormat="1" applyFont="1" applyAlignment="1">
      <alignment horizontal="center" vertical="center" wrapText="1"/>
    </xf>
    <xf numFmtId="4" fontId="10" fillId="0" borderId="0" xfId="1" applyNumberFormat="1" applyAlignment="1">
      <alignment horizontal="center" vertical="center" wrapText="1"/>
    </xf>
    <xf numFmtId="49" fontId="2" fillId="0" borderId="0" xfId="1" applyNumberFormat="1" applyFont="1" applyAlignment="1">
      <alignment horizontal="justify" vertical="center" wrapText="1"/>
    </xf>
    <xf numFmtId="49" fontId="7" fillId="0" borderId="0" xfId="1" applyNumberFormat="1" applyFont="1" applyAlignment="1">
      <alignment horizontal="justify" vertical="center" wrapText="1"/>
    </xf>
    <xf numFmtId="2" fontId="5" fillId="0" borderId="0" xfId="1" applyNumberFormat="1" applyFont="1" applyAlignment="1">
      <alignment horizontal="center" vertical="center" wrapText="1"/>
    </xf>
    <xf numFmtId="0" fontId="11" fillId="2" borderId="3" xfId="0" applyFont="1" applyFill="1" applyBorder="1" applyAlignment="1">
      <alignment horizontal="center"/>
    </xf>
    <xf numFmtId="0" fontId="11" fillId="2" borderId="4" xfId="0" applyFont="1" applyFill="1" applyBorder="1" applyAlignment="1">
      <alignment horizontal="center"/>
    </xf>
    <xf numFmtId="0" fontId="9" fillId="0" borderId="5" xfId="0" applyFont="1" applyBorder="1" applyAlignment="1">
      <alignment horizontal="center"/>
    </xf>
    <xf numFmtId="0" fontId="12" fillId="0" borderId="0" xfId="0" applyFont="1" applyAlignment="1">
      <alignment horizontal="center"/>
    </xf>
    <xf numFmtId="164" fontId="12" fillId="0" borderId="5" xfId="0" applyNumberFormat="1" applyFont="1" applyBorder="1"/>
    <xf numFmtId="164" fontId="12" fillId="0" borderId="2" xfId="0" applyNumberFormat="1" applyFont="1" applyBorder="1"/>
    <xf numFmtId="0" fontId="9" fillId="3" borderId="5" xfId="0" applyFont="1" applyFill="1" applyBorder="1" applyAlignment="1">
      <alignment horizontal="center"/>
    </xf>
    <xf numFmtId="0" fontId="12" fillId="3" borderId="0" xfId="0" applyFont="1" applyFill="1" applyAlignment="1">
      <alignment horizontal="center"/>
    </xf>
    <xf numFmtId="164" fontId="12" fillId="3" borderId="5" xfId="0" applyNumberFormat="1" applyFont="1" applyFill="1" applyBorder="1"/>
    <xf numFmtId="164" fontId="12" fillId="3" borderId="6" xfId="0" applyNumberFormat="1" applyFont="1" applyFill="1" applyBorder="1"/>
    <xf numFmtId="164" fontId="12" fillId="0" borderId="6" xfId="0" applyNumberFormat="1" applyFont="1" applyBorder="1"/>
    <xf numFmtId="0" fontId="9" fillId="3" borderId="3" xfId="0" applyFont="1" applyFill="1" applyBorder="1" applyAlignment="1">
      <alignment horizontal="center"/>
    </xf>
    <xf numFmtId="0" fontId="12" fillId="3" borderId="7" xfId="0" applyFont="1" applyFill="1" applyBorder="1" applyAlignment="1">
      <alignment horizontal="center"/>
    </xf>
    <xf numFmtId="0" fontId="13" fillId="0" borderId="8" xfId="0" applyFont="1" applyBorder="1" applyAlignment="1">
      <alignment horizontal="center"/>
    </xf>
    <xf numFmtId="0" fontId="14" fillId="0" borderId="9" xfId="0" applyFont="1" applyBorder="1" applyAlignment="1">
      <alignment horizontal="center"/>
    </xf>
    <xf numFmtId="164" fontId="14" fillId="0" borderId="8" xfId="0" applyNumberFormat="1" applyFont="1" applyBorder="1"/>
    <xf numFmtId="164" fontId="14" fillId="0" borderId="10" xfId="0" applyNumberFormat="1" applyFont="1" applyBorder="1"/>
    <xf numFmtId="0" fontId="11" fillId="4" borderId="3" xfId="0" applyFont="1" applyFill="1" applyBorder="1" applyAlignment="1">
      <alignment horizontal="center"/>
    </xf>
    <xf numFmtId="0" fontId="11" fillId="4" borderId="4" xfId="0" applyFont="1" applyFill="1" applyBorder="1" applyAlignment="1">
      <alignment horizontal="center"/>
    </xf>
    <xf numFmtId="164" fontId="12" fillId="5" borderId="5" xfId="0" applyNumberFormat="1" applyFont="1" applyFill="1" applyBorder="1"/>
    <xf numFmtId="164" fontId="12" fillId="5" borderId="6" xfId="0" applyNumberFormat="1" applyFont="1" applyFill="1" applyBorder="1"/>
    <xf numFmtId="164" fontId="15" fillId="0" borderId="8" xfId="0" applyNumberFormat="1" applyFont="1" applyBorder="1"/>
    <xf numFmtId="164" fontId="15" fillId="0" borderId="10" xfId="0" applyNumberFormat="1" applyFont="1" applyBorder="1"/>
    <xf numFmtId="0" fontId="11" fillId="2" borderId="7" xfId="0" applyFont="1" applyFill="1" applyBorder="1" applyAlignment="1">
      <alignment horizontal="center"/>
    </xf>
    <xf numFmtId="164" fontId="12" fillId="0" borderId="1" xfId="0" applyNumberFormat="1" applyFont="1" applyBorder="1"/>
    <xf numFmtId="164" fontId="12" fillId="0" borderId="0" xfId="0" applyNumberFormat="1" applyFont="1"/>
    <xf numFmtId="164" fontId="12" fillId="3" borderId="0" xfId="0" applyNumberFormat="1" applyFont="1" applyFill="1"/>
    <xf numFmtId="164" fontId="12" fillId="3" borderId="3" xfId="0" applyNumberFormat="1" applyFont="1" applyFill="1" applyBorder="1"/>
    <xf numFmtId="164" fontId="12" fillId="3" borderId="4" xfId="0" applyNumberFormat="1" applyFont="1" applyFill="1" applyBorder="1"/>
    <xf numFmtId="164" fontId="14" fillId="0" borderId="9" xfId="0" applyNumberFormat="1" applyFont="1" applyBorder="1"/>
    <xf numFmtId="2" fontId="10" fillId="0" borderId="0" xfId="1" applyNumberFormat="1" applyAlignment="1">
      <alignment horizontal="center" vertical="center" wrapText="1"/>
    </xf>
    <xf numFmtId="0" fontId="10" fillId="0" borderId="0" xfId="1" applyAlignment="1">
      <alignment horizontal="center" vertical="center" wrapText="1"/>
    </xf>
    <xf numFmtId="0" fontId="6" fillId="0" borderId="0" xfId="1" applyFont="1" applyAlignment="1">
      <alignment horizontal="center" vertical="center" wrapText="1"/>
    </xf>
    <xf numFmtId="0" fontId="10" fillId="0" borderId="0" xfId="1" applyAlignment="1">
      <alignment horizontal="justify" vertical="center" wrapText="1"/>
    </xf>
    <xf numFmtId="164" fontId="0" fillId="0" borderId="0" xfId="0" applyNumberFormat="1" applyAlignment="1">
      <alignment horizontal="center" vertical="center" wrapText="1"/>
    </xf>
    <xf numFmtId="0" fontId="6" fillId="0" borderId="0" xfId="0" applyFont="1" applyAlignment="1">
      <alignment horizontal="center" vertical="center" wrapText="1"/>
    </xf>
    <xf numFmtId="2" fontId="6" fillId="0" borderId="0" xfId="0" applyNumberFormat="1" applyFont="1" applyAlignment="1">
      <alignment horizontal="center" vertical="center" wrapText="1"/>
    </xf>
    <xf numFmtId="2" fontId="0" fillId="0" borderId="0" xfId="0" applyNumberFormat="1" applyBorder="1" applyAlignment="1">
      <alignment horizontal="center" vertical="center" wrapText="1"/>
    </xf>
    <xf numFmtId="0" fontId="0" fillId="0" borderId="0" xfId="0" applyFont="1" applyBorder="1" applyAlignment="1">
      <alignment horizontal="center" vertical="center" wrapText="1"/>
    </xf>
    <xf numFmtId="40" fontId="0" fillId="0" borderId="0" xfId="0" applyNumberFormat="1" applyBorder="1" applyAlignment="1">
      <alignment horizontal="center" vertical="center" wrapText="1"/>
    </xf>
    <xf numFmtId="0" fontId="6" fillId="0" borderId="0" xfId="0" applyFont="1" applyBorder="1" applyAlignment="1">
      <alignment horizontal="center" vertical="center" wrapText="1"/>
    </xf>
    <xf numFmtId="2" fontId="0" fillId="0" borderId="0" xfId="0" applyNumberFormat="1" applyBorder="1" applyAlignment="1">
      <alignment horizontal="center" wrapText="1"/>
    </xf>
    <xf numFmtId="2" fontId="3" fillId="0" borderId="0" xfId="0" applyNumberFormat="1" applyFont="1" applyBorder="1" applyAlignment="1">
      <alignment horizontal="center" wrapText="1"/>
    </xf>
    <xf numFmtId="2" fontId="4" fillId="0" borderId="0" xfId="0" applyNumberFormat="1" applyFont="1" applyBorder="1" applyAlignment="1">
      <alignment horizontal="center" wrapText="1"/>
    </xf>
    <xf numFmtId="2" fontId="5" fillId="0" borderId="0" xfId="0" applyNumberFormat="1" applyFont="1" applyBorder="1" applyAlignment="1">
      <alignment horizontal="center" wrapText="1"/>
    </xf>
    <xf numFmtId="0" fontId="0" fillId="0" borderId="0" xfId="0" applyFont="1" applyBorder="1" applyAlignment="1">
      <alignment horizontal="justify" vertical="center" wrapText="1"/>
    </xf>
    <xf numFmtId="0" fontId="0" fillId="0" borderId="0" xfId="0" applyAlignment="1">
      <alignment horizontal="center" vertical="center" wrapText="1"/>
    </xf>
    <xf numFmtId="0" fontId="0" fillId="0" borderId="0" xfId="0" applyAlignment="1">
      <alignment horizontal="justify" vertical="center" wrapText="1"/>
    </xf>
    <xf numFmtId="2" fontId="0" fillId="0" borderId="0" xfId="0" applyNumberFormat="1" applyAlignment="1">
      <alignment horizontal="center" wrapText="1"/>
    </xf>
    <xf numFmtId="2" fontId="3" fillId="0" borderId="0" xfId="0" applyNumberFormat="1" applyFont="1" applyAlignment="1">
      <alignment horizontal="center" wrapText="1"/>
    </xf>
    <xf numFmtId="2" fontId="4" fillId="0" borderId="0" xfId="0" applyNumberFormat="1" applyFont="1" applyAlignment="1">
      <alignment horizontal="center" wrapText="1"/>
    </xf>
    <xf numFmtId="2" fontId="0" fillId="0" borderId="0" xfId="0" applyNumberFormat="1" applyAlignment="1">
      <alignment horizontal="center" vertical="center" wrapText="1"/>
    </xf>
    <xf numFmtId="0" fontId="6" fillId="0" borderId="0" xfId="0" applyFont="1" applyAlignment="1">
      <alignment horizontal="center" vertical="center" wrapText="1"/>
    </xf>
    <xf numFmtId="2" fontId="5" fillId="0" borderId="0" xfId="0" applyNumberFormat="1" applyFont="1" applyAlignment="1">
      <alignment horizontal="center" wrapText="1"/>
    </xf>
    <xf numFmtId="40" fontId="0" fillId="0" borderId="0" xfId="0" applyNumberFormat="1" applyAlignment="1">
      <alignment horizontal="center" vertical="center" wrapText="1"/>
    </xf>
    <xf numFmtId="0" fontId="10" fillId="0" borderId="0" xfId="1" applyAlignment="1">
      <alignment horizontal="center" vertical="center" wrapText="1"/>
    </xf>
    <xf numFmtId="0" fontId="10" fillId="0" borderId="0" xfId="1" applyAlignment="1">
      <alignment horizontal="justify" vertical="center" wrapText="1"/>
    </xf>
    <xf numFmtId="2" fontId="10" fillId="0" borderId="0" xfId="1" applyNumberFormat="1" applyAlignment="1">
      <alignment horizontal="center" wrapText="1"/>
    </xf>
    <xf numFmtId="2" fontId="3" fillId="0" borderId="0" xfId="1" applyNumberFormat="1" applyFont="1" applyAlignment="1">
      <alignment horizontal="center" wrapText="1"/>
    </xf>
    <xf numFmtId="2" fontId="4" fillId="0" borderId="0" xfId="1" applyNumberFormat="1" applyFont="1" applyAlignment="1">
      <alignment horizontal="center" wrapText="1"/>
    </xf>
    <xf numFmtId="2" fontId="10" fillId="0" borderId="0" xfId="1" applyNumberFormat="1" applyAlignment="1">
      <alignment horizontal="center" vertical="center" wrapText="1"/>
    </xf>
    <xf numFmtId="0" fontId="6" fillId="0" borderId="0" xfId="1" applyFont="1" applyAlignment="1">
      <alignment horizontal="center" vertical="center" wrapText="1"/>
    </xf>
    <xf numFmtId="2" fontId="5" fillId="0" borderId="0" xfId="1" applyNumberFormat="1" applyFont="1" applyAlignment="1">
      <alignment horizontal="center" wrapText="1"/>
    </xf>
    <xf numFmtId="40" fontId="10" fillId="0" borderId="0" xfId="1" applyNumberFormat="1" applyAlignment="1">
      <alignment horizontal="center" vertical="center" wrapText="1"/>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4" borderId="1" xfId="0" applyFont="1" applyFill="1" applyBorder="1" applyAlignment="1">
      <alignment horizontal="center"/>
    </xf>
    <xf numFmtId="0" fontId="11" fillId="4" borderId="2" xfId="0" applyFont="1" applyFill="1" applyBorder="1" applyAlignment="1">
      <alignment horizont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cellXfs>
  <cellStyles count="2">
    <cellStyle name="Normal" xfId="0" builtinId="0"/>
    <cellStyle name="Normal 2" xfId="1" xr:uid="{4B166230-1FCA-1E42-A2CA-E485C06EDFA6}"/>
  </cellStyles>
  <dxfs count="0"/>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9900"/>
      <rgbColor rgb="00000080"/>
      <rgbColor rgb="00808000"/>
      <rgbColor rgb="00800080"/>
      <rgbColor rgb="00009933"/>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binett/Downloads/20190722.rich-All2020-bes3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III"/>
      <sheetName val="FE"/>
      <sheetName val="TO"/>
      <sheetName val="LNF"/>
    </sheetNames>
    <sheetDataSet>
      <sheetData sheetId="0"/>
      <sheetData sheetId="1">
        <row r="31">
          <cell r="K31">
            <v>1.5</v>
          </cell>
        </row>
        <row r="40">
          <cell r="L40">
            <v>0</v>
          </cell>
        </row>
        <row r="47">
          <cell r="K47">
            <v>2</v>
          </cell>
        </row>
        <row r="55">
          <cell r="L55">
            <v>0</v>
          </cell>
        </row>
      </sheetData>
      <sheetData sheetId="2">
        <row r="46">
          <cell r="K46">
            <v>3</v>
          </cell>
        </row>
      </sheetData>
      <sheetData sheetId="3">
        <row r="33">
          <cell r="K33">
            <v>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B226-5DFB-B740-B1DD-6F4D49629133}">
  <dimension ref="A1:AH72"/>
  <sheetViews>
    <sheetView zoomScale="130" zoomScaleNormal="130" zoomScalePageLayoutView="90" workbookViewId="0">
      <pane xSplit="48880"/>
      <selection activeCell="Q1" sqref="Q1"/>
      <selection pane="topRight" activeCell="A4" sqref="A4:A16"/>
    </sheetView>
  </sheetViews>
  <sheetFormatPr baseColWidth="10" defaultColWidth="8.83203125" defaultRowHeight="13"/>
  <cols>
    <col min="1" max="1" width="8.83203125" style="5"/>
    <col min="2" max="2" width="87.33203125" style="16" customWidth="1"/>
    <col min="3" max="34" width="8.83203125" style="5"/>
  </cols>
  <sheetData>
    <row r="1" spans="1:34" s="1" customFormat="1" ht="13.25" customHeight="1">
      <c r="A1" s="77"/>
      <c r="B1" s="77" t="s">
        <v>0</v>
      </c>
      <c r="C1" s="77"/>
      <c r="D1" s="77"/>
      <c r="E1" s="77"/>
      <c r="F1" s="77"/>
      <c r="G1" s="77"/>
      <c r="H1" s="77"/>
      <c r="I1" s="77"/>
      <c r="J1" s="77"/>
      <c r="K1" s="77"/>
      <c r="L1" s="77"/>
      <c r="M1" s="21"/>
      <c r="N1" s="21"/>
      <c r="O1" s="21"/>
      <c r="P1" s="1" t="s">
        <v>1</v>
      </c>
      <c r="Q1" s="4">
        <v>5.9</v>
      </c>
      <c r="T1" s="1" t="s">
        <v>2</v>
      </c>
      <c r="U1" s="1">
        <v>7.9</v>
      </c>
      <c r="V1" s="5"/>
      <c r="W1" s="1" t="s">
        <v>3</v>
      </c>
      <c r="X1" s="1">
        <f>2.1/30</f>
        <v>7.0000000000000007E-2</v>
      </c>
      <c r="Y1" s="1" t="s">
        <v>4</v>
      </c>
      <c r="Z1" s="1">
        <f>1.8/30</f>
        <v>6.0000000000000005E-2</v>
      </c>
      <c r="AA1" s="5"/>
      <c r="AB1" s="5"/>
      <c r="AC1" s="5"/>
      <c r="AD1" s="5"/>
      <c r="AE1" s="5"/>
      <c r="AF1" s="5"/>
      <c r="AG1" s="5"/>
      <c r="AH1" s="5"/>
    </row>
    <row r="2" spans="1:34" ht="13.25" customHeight="1">
      <c r="A2" s="77"/>
      <c r="B2" s="84" t="s">
        <v>5</v>
      </c>
      <c r="C2" s="77" t="s">
        <v>6</v>
      </c>
      <c r="D2" s="77"/>
      <c r="E2" s="77"/>
      <c r="F2" s="77"/>
      <c r="G2" s="77"/>
      <c r="H2" s="77" t="s">
        <v>7</v>
      </c>
      <c r="I2" s="77"/>
      <c r="J2" s="77"/>
      <c r="K2" s="77" t="s">
        <v>8</v>
      </c>
      <c r="L2" s="77"/>
      <c r="M2" s="77" t="s">
        <v>9</v>
      </c>
      <c r="N2" s="77"/>
      <c r="O2" s="77"/>
      <c r="P2" s="77" t="s">
        <v>10</v>
      </c>
      <c r="Q2" s="77"/>
      <c r="R2" s="77" t="s">
        <v>58</v>
      </c>
      <c r="S2" s="77"/>
      <c r="T2" s="77" t="s">
        <v>57</v>
      </c>
      <c r="U2" s="77"/>
      <c r="V2"/>
      <c r="W2"/>
      <c r="X2"/>
      <c r="Y2"/>
      <c r="Z2"/>
      <c r="AA2"/>
      <c r="AB2"/>
      <c r="AC2"/>
      <c r="AD2"/>
      <c r="AE2"/>
      <c r="AF2"/>
      <c r="AG2"/>
      <c r="AH2"/>
    </row>
    <row r="3" spans="1:34" ht="56">
      <c r="A3" s="77"/>
      <c r="B3" s="84"/>
      <c r="C3" s="21" t="s">
        <v>11</v>
      </c>
      <c r="D3" s="21" t="s">
        <v>12</v>
      </c>
      <c r="E3" s="21" t="s">
        <v>13</v>
      </c>
      <c r="F3" s="21" t="s">
        <v>14</v>
      </c>
      <c r="G3" s="21" t="s">
        <v>15</v>
      </c>
      <c r="H3" s="1" t="s">
        <v>16</v>
      </c>
      <c r="I3" s="1" t="s">
        <v>17</v>
      </c>
      <c r="J3" s="1" t="s">
        <v>18</v>
      </c>
      <c r="K3" s="1" t="s">
        <v>16</v>
      </c>
      <c r="L3" s="1" t="s">
        <v>18</v>
      </c>
      <c r="M3" s="1" t="s">
        <v>19</v>
      </c>
      <c r="N3" s="1" t="s">
        <v>20</v>
      </c>
      <c r="O3" s="1" t="s">
        <v>21</v>
      </c>
      <c r="P3" s="1" t="s">
        <v>16</v>
      </c>
      <c r="Q3" s="1" t="s">
        <v>18</v>
      </c>
      <c r="R3" s="1" t="s">
        <v>16</v>
      </c>
      <c r="S3" s="1" t="s">
        <v>18</v>
      </c>
      <c r="T3" s="1" t="s">
        <v>17</v>
      </c>
      <c r="U3" s="1" t="s">
        <v>18</v>
      </c>
      <c r="V3" s="1" t="s">
        <v>22</v>
      </c>
      <c r="W3" s="1" t="s">
        <v>23</v>
      </c>
      <c r="X3" s="1" t="s">
        <v>24</v>
      </c>
      <c r="Y3" s="1" t="s">
        <v>25</v>
      </c>
      <c r="Z3" s="1" t="s">
        <v>26</v>
      </c>
      <c r="AA3" s="1" t="s">
        <v>27</v>
      </c>
      <c r="AB3" s="1" t="s">
        <v>28</v>
      </c>
      <c r="AC3" s="1" t="s">
        <v>29</v>
      </c>
      <c r="AD3" s="1" t="s">
        <v>30</v>
      </c>
      <c r="AE3" s="1" t="s">
        <v>31</v>
      </c>
      <c r="AF3" s="1" t="s">
        <v>32</v>
      </c>
      <c r="AG3" s="1" t="s">
        <v>33</v>
      </c>
      <c r="AH3" s="1" t="s">
        <v>34</v>
      </c>
    </row>
    <row r="4" spans="1:34" ht="25.25" customHeight="1">
      <c r="A4" s="77" t="s">
        <v>43</v>
      </c>
      <c r="B4" s="6" t="s">
        <v>72</v>
      </c>
      <c r="C4" s="7">
        <v>5</v>
      </c>
      <c r="D4" s="7"/>
      <c r="E4" s="7"/>
      <c r="F4" s="7"/>
      <c r="G4" s="7"/>
      <c r="H4" s="7">
        <f>IF(B4="","",C4)</f>
        <v>5</v>
      </c>
      <c r="I4" s="7">
        <f t="shared" ref="I4:I10" si="0">IF(B4="","",H4-J4)</f>
        <v>5</v>
      </c>
      <c r="J4" s="7"/>
      <c r="K4" s="80">
        <f>SUM(H4:H30)</f>
        <v>198</v>
      </c>
      <c r="L4" s="80">
        <f>SUM(J4:J30)</f>
        <v>88.27000000000001</v>
      </c>
      <c r="M4" s="81">
        <f>SUM(C17:C30)</f>
        <v>151</v>
      </c>
      <c r="N4" s="82">
        <f>SUM(D17:D30)/30</f>
        <v>22.633333333333333</v>
      </c>
      <c r="O4" s="82">
        <f>N4*(2.1+1.8)</f>
        <v>88.27000000000001</v>
      </c>
      <c r="P4" s="83">
        <f>K32/$Q$1</f>
        <v>18.59830508474576</v>
      </c>
      <c r="Q4" s="83">
        <f>L32/$Q$1</f>
        <v>0</v>
      </c>
      <c r="R4" s="80">
        <v>229.5</v>
      </c>
      <c r="S4" s="80">
        <v>56.5</v>
      </c>
      <c r="T4" s="80">
        <f>R4/$U$1</f>
        <v>29.050632911392405</v>
      </c>
      <c r="U4" s="80">
        <f>S4/$U$1</f>
        <v>7.1518987341772151</v>
      </c>
      <c r="V4" s="5">
        <f t="shared" ref="V4:V8" si="1">IF(AB4="","",W4*X4*Z4)</f>
        <v>5040</v>
      </c>
      <c r="W4" s="5">
        <v>2</v>
      </c>
      <c r="X4" s="5">
        <f t="shared" ref="X4:X18" si="2">IF(B4="","",AD4*AC4+AF4*AE4+AA4+AB4)</f>
        <v>630</v>
      </c>
      <c r="Y4" s="1" t="str">
        <f>IF(OR(B4="",AG4="",AG4=0),"",AA4+AB4+AD4*AG4+AH4*(AD4+AF4))</f>
        <v/>
      </c>
      <c r="Z4" s="5">
        <v>4</v>
      </c>
      <c r="AA4" s="5">
        <v>250</v>
      </c>
      <c r="AB4" s="5">
        <v>0</v>
      </c>
      <c r="AC4" s="5">
        <v>160</v>
      </c>
      <c r="AD4" s="5">
        <v>2</v>
      </c>
      <c r="AE4" s="5">
        <v>60</v>
      </c>
      <c r="AF4" s="5">
        <v>1</v>
      </c>
      <c r="AG4"/>
      <c r="AH4"/>
    </row>
    <row r="5" spans="1:34" ht="28">
      <c r="A5" s="77"/>
      <c r="B5" s="6" t="s">
        <v>73</v>
      </c>
      <c r="C5" s="7">
        <v>4</v>
      </c>
      <c r="D5" s="7"/>
      <c r="E5" s="7"/>
      <c r="F5" s="7"/>
      <c r="G5" s="7"/>
      <c r="H5" s="7">
        <f t="shared" ref="H5:H10" si="3">IF(B5="","",C5)</f>
        <v>4</v>
      </c>
      <c r="I5" s="7">
        <f t="shared" si="0"/>
        <v>4</v>
      </c>
      <c r="J5" s="7"/>
      <c r="K5" s="80"/>
      <c r="L5" s="80"/>
      <c r="M5" s="81"/>
      <c r="N5" s="82"/>
      <c r="O5" s="82"/>
      <c r="P5" s="83"/>
      <c r="Q5" s="83"/>
      <c r="R5" s="80"/>
      <c r="S5" s="80"/>
      <c r="T5" s="80"/>
      <c r="U5" s="80"/>
      <c r="V5" s="5">
        <f t="shared" si="1"/>
        <v>3780</v>
      </c>
      <c r="W5" s="5">
        <v>2</v>
      </c>
      <c r="X5" s="5">
        <f t="shared" si="2"/>
        <v>630</v>
      </c>
      <c r="Y5" s="1"/>
      <c r="Z5" s="5">
        <v>3</v>
      </c>
      <c r="AA5" s="5">
        <v>250</v>
      </c>
      <c r="AB5" s="5">
        <v>0</v>
      </c>
      <c r="AC5" s="5">
        <v>160</v>
      </c>
      <c r="AD5" s="5">
        <v>2</v>
      </c>
      <c r="AE5" s="5">
        <v>60</v>
      </c>
      <c r="AF5" s="5">
        <v>1</v>
      </c>
      <c r="AG5"/>
      <c r="AH5"/>
    </row>
    <row r="6" spans="1:34">
      <c r="A6" s="77"/>
      <c r="B6" s="6"/>
      <c r="C6" s="7"/>
      <c r="D6" s="7"/>
      <c r="E6" s="7"/>
      <c r="F6" s="7"/>
      <c r="G6" s="7"/>
      <c r="H6" s="7"/>
      <c r="I6" s="7"/>
      <c r="J6" s="7"/>
      <c r="K6" s="80"/>
      <c r="L6" s="80"/>
      <c r="M6" s="81"/>
      <c r="N6" s="82"/>
      <c r="O6" s="82"/>
      <c r="P6" s="83"/>
      <c r="Q6" s="83"/>
      <c r="R6" s="80"/>
      <c r="S6" s="80"/>
      <c r="T6" s="80"/>
      <c r="U6" s="80"/>
      <c r="Y6" s="1"/>
      <c r="AG6"/>
      <c r="AH6"/>
    </row>
    <row r="7" spans="1:34" ht="14">
      <c r="A7" s="77"/>
      <c r="B7" s="6" t="s">
        <v>75</v>
      </c>
      <c r="C7" s="7">
        <v>9.5</v>
      </c>
      <c r="D7" s="7"/>
      <c r="E7" s="7"/>
      <c r="F7" s="7"/>
      <c r="G7" s="7"/>
      <c r="H7" s="7">
        <f t="shared" si="3"/>
        <v>9.5</v>
      </c>
      <c r="I7" s="7">
        <f t="shared" si="0"/>
        <v>9.5</v>
      </c>
      <c r="J7" s="7"/>
      <c r="K7" s="80"/>
      <c r="L7" s="80"/>
      <c r="M7" s="81"/>
      <c r="N7" s="82"/>
      <c r="O7" s="82"/>
      <c r="P7" s="83"/>
      <c r="Q7" s="83"/>
      <c r="R7" s="80"/>
      <c r="S7" s="80"/>
      <c r="T7" s="80"/>
      <c r="U7" s="80"/>
      <c r="V7" s="5">
        <f t="shared" si="1"/>
        <v>9450</v>
      </c>
      <c r="W7" s="5">
        <v>5</v>
      </c>
      <c r="X7" s="5">
        <f t="shared" si="2"/>
        <v>630</v>
      </c>
      <c r="Y7" s="1"/>
      <c r="Z7" s="5">
        <v>3</v>
      </c>
      <c r="AA7" s="5">
        <v>250</v>
      </c>
      <c r="AB7" s="5">
        <v>0</v>
      </c>
      <c r="AC7" s="5">
        <v>160</v>
      </c>
      <c r="AD7" s="5">
        <v>2</v>
      </c>
      <c r="AE7" s="5">
        <v>60</v>
      </c>
      <c r="AF7" s="5">
        <v>1</v>
      </c>
      <c r="AG7"/>
      <c r="AH7"/>
    </row>
    <row r="8" spans="1:34" ht="28">
      <c r="A8" s="77"/>
      <c r="B8" s="6" t="s">
        <v>74</v>
      </c>
      <c r="C8" s="7">
        <v>1.5</v>
      </c>
      <c r="D8" s="7"/>
      <c r="E8" s="7"/>
      <c r="F8" s="7"/>
      <c r="G8" s="7"/>
      <c r="H8" s="7">
        <f t="shared" si="3"/>
        <v>1.5</v>
      </c>
      <c r="I8" s="7">
        <f t="shared" si="0"/>
        <v>1.5</v>
      </c>
      <c r="J8" s="7"/>
      <c r="K8" s="80"/>
      <c r="L8" s="80"/>
      <c r="M8" s="81"/>
      <c r="N8" s="82"/>
      <c r="O8" s="82"/>
      <c r="P8" s="83"/>
      <c r="Q8" s="83"/>
      <c r="R8" s="80"/>
      <c r="S8" s="80"/>
      <c r="T8" s="80"/>
      <c r="U8" s="80"/>
      <c r="V8" s="5">
        <f t="shared" si="1"/>
        <v>1260</v>
      </c>
      <c r="W8" s="5">
        <v>1</v>
      </c>
      <c r="X8" s="5">
        <f t="shared" si="2"/>
        <v>630</v>
      </c>
      <c r="Y8" s="1"/>
      <c r="Z8" s="5">
        <v>2</v>
      </c>
      <c r="AA8" s="5">
        <v>250</v>
      </c>
      <c r="AB8" s="5">
        <v>0</v>
      </c>
      <c r="AC8" s="5">
        <v>160</v>
      </c>
      <c r="AD8" s="5">
        <v>2</v>
      </c>
      <c r="AE8" s="5">
        <v>60</v>
      </c>
      <c r="AF8" s="5">
        <v>1</v>
      </c>
      <c r="AG8"/>
      <c r="AH8"/>
    </row>
    <row r="9" spans="1:34" ht="28">
      <c r="A9" s="77"/>
      <c r="B9" s="24" t="s">
        <v>132</v>
      </c>
      <c r="C9" s="7">
        <v>4</v>
      </c>
      <c r="D9" s="7"/>
      <c r="E9" s="7"/>
      <c r="F9" s="7"/>
      <c r="G9" s="7"/>
      <c r="H9" s="7">
        <f t="shared" si="3"/>
        <v>4</v>
      </c>
      <c r="I9" s="7">
        <f t="shared" si="0"/>
        <v>4</v>
      </c>
      <c r="J9" s="7"/>
      <c r="K9" s="80"/>
      <c r="L9" s="80"/>
      <c r="M9" s="81"/>
      <c r="N9" s="81"/>
      <c r="O9" s="81"/>
      <c r="P9" s="81"/>
      <c r="Q9" s="81"/>
      <c r="R9" s="81"/>
      <c r="S9" s="81"/>
      <c r="T9" s="81"/>
      <c r="U9" s="81"/>
      <c r="V9" s="5">
        <f t="shared" ref="V9" si="4">IF(AB9="","",W9*X9*Z9)</f>
        <v>3800</v>
      </c>
      <c r="W9" s="5">
        <v>1</v>
      </c>
      <c r="X9" s="5">
        <f t="shared" ref="X9" si="5">IF(B9="","",AD9*AC9+AF9*AE9+AA9+AB9)</f>
        <v>950</v>
      </c>
      <c r="Y9" s="1"/>
      <c r="Z9" s="5">
        <v>4</v>
      </c>
      <c r="AA9" s="5">
        <v>250</v>
      </c>
      <c r="AB9" s="5">
        <v>0</v>
      </c>
      <c r="AC9" s="5">
        <v>160</v>
      </c>
      <c r="AD9" s="5">
        <v>4</v>
      </c>
      <c r="AE9" s="5">
        <v>60</v>
      </c>
      <c r="AF9" s="5">
        <v>1</v>
      </c>
      <c r="AG9"/>
      <c r="AH9"/>
    </row>
    <row r="10" spans="1:34" ht="14">
      <c r="A10" s="77"/>
      <c r="B10" s="2"/>
      <c r="C10" s="7"/>
      <c r="D10" s="7"/>
      <c r="E10" s="7"/>
      <c r="F10" s="7"/>
      <c r="G10" s="7"/>
      <c r="H10" s="7" t="str">
        <f t="shared" si="3"/>
        <v/>
      </c>
      <c r="I10" s="7" t="str">
        <f t="shared" si="0"/>
        <v/>
      </c>
      <c r="J10" s="7"/>
      <c r="K10" s="80"/>
      <c r="L10" s="80"/>
      <c r="M10" s="81"/>
      <c r="N10" s="81"/>
      <c r="O10" s="81"/>
      <c r="P10" s="81"/>
      <c r="Q10" s="81"/>
      <c r="R10" s="81"/>
      <c r="S10" s="81"/>
      <c r="T10" s="81"/>
      <c r="U10" s="81"/>
      <c r="Y10" s="1"/>
    </row>
    <row r="11" spans="1:34" ht="14">
      <c r="A11" s="77"/>
      <c r="B11" s="6"/>
      <c r="C11" s="7"/>
      <c r="D11" s="7"/>
      <c r="E11" s="7"/>
      <c r="F11" s="7"/>
      <c r="G11" s="7"/>
      <c r="H11" s="7"/>
      <c r="I11" s="7"/>
      <c r="J11" s="7"/>
      <c r="K11" s="80"/>
      <c r="L11" s="80"/>
      <c r="M11" s="81"/>
      <c r="N11" s="81"/>
      <c r="O11" s="81"/>
      <c r="P11" s="81"/>
      <c r="Q11" s="81"/>
      <c r="R11" s="81"/>
      <c r="S11" s="81"/>
      <c r="T11" s="81"/>
      <c r="U11" s="81"/>
      <c r="V11" s="5" t="str">
        <f t="shared" ref="V11:V18" si="6">IF(AB11="","",W11*Y11*Z11)</f>
        <v/>
      </c>
      <c r="W11"/>
      <c r="X11" s="5" t="str">
        <f t="shared" si="2"/>
        <v/>
      </c>
      <c r="Y11" s="1" t="str">
        <f t="shared" ref="Y11:Y18" si="7">IF(OR(B11="",AG11="",AG11=0),"",AA11+AB11+AD11*AG11+AH11*(AD11+AF11))</f>
        <v/>
      </c>
      <c r="Z11"/>
      <c r="AA11"/>
      <c r="AB11"/>
      <c r="AC11"/>
      <c r="AD11"/>
      <c r="AE11"/>
      <c r="AF11"/>
      <c r="AG11"/>
      <c r="AH11"/>
    </row>
    <row r="12" spans="1:34" ht="14">
      <c r="A12" s="77"/>
      <c r="B12" s="2" t="s">
        <v>46</v>
      </c>
      <c r="C12" s="7">
        <v>2</v>
      </c>
      <c r="D12" s="7"/>
      <c r="E12" s="7"/>
      <c r="F12" s="7"/>
      <c r="G12" s="7"/>
      <c r="H12" s="7">
        <f>IF(B12="","",C12)</f>
        <v>2</v>
      </c>
      <c r="I12" s="7">
        <f>IF(B12="","",H12-J12)</f>
        <v>2</v>
      </c>
      <c r="J12" s="7"/>
      <c r="K12" s="80"/>
      <c r="L12" s="80"/>
      <c r="M12" s="81"/>
      <c r="N12" s="81"/>
      <c r="O12" s="81"/>
      <c r="P12" s="81"/>
      <c r="Q12" s="81"/>
      <c r="R12" s="81"/>
      <c r="S12" s="81"/>
      <c r="T12" s="81"/>
      <c r="U12" s="81"/>
      <c r="V12" s="5">
        <f t="shared" si="6"/>
        <v>1920</v>
      </c>
      <c r="W12" s="5">
        <v>1</v>
      </c>
      <c r="X12" s="5">
        <f t="shared" si="2"/>
        <v>620</v>
      </c>
      <c r="Y12" s="1">
        <f t="shared" si="7"/>
        <v>640</v>
      </c>
      <c r="Z12" s="5">
        <v>3</v>
      </c>
      <c r="AA12" s="5">
        <v>400</v>
      </c>
      <c r="AB12" s="5">
        <v>0</v>
      </c>
      <c r="AC12" s="5">
        <v>150</v>
      </c>
      <c r="AD12" s="5">
        <v>1</v>
      </c>
      <c r="AE12" s="5">
        <v>70</v>
      </c>
      <c r="AF12" s="5">
        <v>1</v>
      </c>
      <c r="AG12" s="5">
        <v>100</v>
      </c>
      <c r="AH12" s="5">
        <v>70</v>
      </c>
    </row>
    <row r="13" spans="1:34" ht="14">
      <c r="A13" s="77"/>
      <c r="B13" s="8"/>
      <c r="C13" s="7"/>
      <c r="D13" s="7"/>
      <c r="E13" s="7"/>
      <c r="F13" s="7"/>
      <c r="G13" s="7"/>
      <c r="H13" s="7" t="str">
        <f>IF(B13="","",C13)</f>
        <v/>
      </c>
      <c r="I13" s="7" t="str">
        <f>IF(B13="","",H13-J13)</f>
        <v/>
      </c>
      <c r="J13" s="7"/>
      <c r="K13" s="80"/>
      <c r="L13" s="80"/>
      <c r="M13" s="81"/>
      <c r="N13" s="81"/>
      <c r="O13" s="81"/>
      <c r="P13" s="81"/>
      <c r="Q13" s="81"/>
      <c r="R13" s="81"/>
      <c r="S13" s="81"/>
      <c r="T13" s="81"/>
      <c r="U13" s="81"/>
      <c r="Y13" s="1"/>
    </row>
    <row r="14" spans="1:34" ht="28">
      <c r="A14" s="77"/>
      <c r="B14" s="8" t="s">
        <v>76</v>
      </c>
      <c r="C14" s="7">
        <v>21</v>
      </c>
      <c r="D14" s="7"/>
      <c r="E14" s="7"/>
      <c r="F14" s="7"/>
      <c r="G14" s="7"/>
      <c r="H14" s="7">
        <f>IF(B14="","",C14)</f>
        <v>21</v>
      </c>
      <c r="I14" s="7">
        <f>IF(B14="","",H14-J14)</f>
        <v>21</v>
      </c>
      <c r="J14" s="7"/>
      <c r="K14" s="80"/>
      <c r="L14" s="80"/>
      <c r="M14" s="81"/>
      <c r="N14" s="81"/>
      <c r="O14" s="81"/>
      <c r="P14" s="81"/>
      <c r="Q14" s="81"/>
      <c r="R14" s="81"/>
      <c r="S14" s="81"/>
      <c r="T14" s="81"/>
      <c r="U14" s="81"/>
      <c r="V14" s="5">
        <f t="shared" si="6"/>
        <v>21000</v>
      </c>
      <c r="W14" s="5">
        <v>5</v>
      </c>
      <c r="X14" s="5">
        <f t="shared" si="2"/>
        <v>1960</v>
      </c>
      <c r="Y14" s="1">
        <f t="shared" si="7"/>
        <v>2100</v>
      </c>
      <c r="Z14" s="5">
        <v>2</v>
      </c>
      <c r="AA14" s="5">
        <v>900</v>
      </c>
      <c r="AB14" s="5">
        <v>160</v>
      </c>
      <c r="AC14" s="5">
        <v>120</v>
      </c>
      <c r="AD14" s="5">
        <v>7</v>
      </c>
      <c r="AE14" s="5">
        <v>60</v>
      </c>
      <c r="AF14" s="5">
        <v>1</v>
      </c>
      <c r="AG14" s="5">
        <v>80</v>
      </c>
      <c r="AH14" s="5">
        <v>60</v>
      </c>
    </row>
    <row r="15" spans="1:34" ht="14">
      <c r="A15" s="77"/>
      <c r="B15" s="2"/>
      <c r="C15" s="7"/>
      <c r="D15" s="7"/>
      <c r="E15" s="7"/>
      <c r="F15" s="7"/>
      <c r="G15" s="7"/>
      <c r="H15" s="7" t="str">
        <f>IF(B15="","",C15)</f>
        <v/>
      </c>
      <c r="I15" s="7" t="str">
        <f>IF(B15="","",H15-J15)</f>
        <v/>
      </c>
      <c r="J15" s="7"/>
      <c r="K15" s="80"/>
      <c r="L15" s="80"/>
      <c r="M15" s="81"/>
      <c r="N15" s="81"/>
      <c r="O15" s="81"/>
      <c r="P15" s="81"/>
      <c r="Q15" s="81"/>
      <c r="R15" s="81"/>
      <c r="S15" s="81"/>
      <c r="T15" s="81"/>
      <c r="U15" s="81"/>
      <c r="V15" s="1"/>
      <c r="W15" s="1"/>
      <c r="X15" s="1"/>
      <c r="Y15" s="1"/>
    </row>
    <row r="16" spans="1:34" ht="14">
      <c r="A16" s="77"/>
      <c r="B16"/>
      <c r="C16"/>
      <c r="D16"/>
      <c r="E16"/>
      <c r="F16"/>
      <c r="G16"/>
      <c r="H16" s="7" t="str">
        <f>IF(B16="","",C16)</f>
        <v/>
      </c>
      <c r="I16" s="7" t="str">
        <f>IF(B16="","",H16-J16)</f>
        <v/>
      </c>
      <c r="J16"/>
      <c r="K16" s="80"/>
      <c r="L16" s="80"/>
      <c r="M16" s="81"/>
      <c r="N16" s="81"/>
      <c r="O16" s="81"/>
      <c r="P16" s="81"/>
      <c r="Q16" s="81"/>
      <c r="R16" s="81"/>
      <c r="S16" s="81"/>
      <c r="T16" s="81"/>
      <c r="U16" s="81"/>
      <c r="V16" s="5" t="str">
        <f t="shared" si="6"/>
        <v/>
      </c>
      <c r="W16"/>
      <c r="X16" s="5" t="str">
        <f t="shared" si="2"/>
        <v/>
      </c>
      <c r="Y16" s="1" t="str">
        <f t="shared" si="7"/>
        <v/>
      </c>
      <c r="Z16"/>
      <c r="AA16"/>
      <c r="AB16"/>
      <c r="AC16"/>
      <c r="AD16"/>
      <c r="AE16"/>
      <c r="AF16"/>
      <c r="AG16"/>
      <c r="AH16"/>
    </row>
    <row r="17" spans="1:34" ht="61.75" customHeight="1">
      <c r="A17" s="77" t="s">
        <v>47</v>
      </c>
      <c r="B17" s="8" t="s">
        <v>77</v>
      </c>
      <c r="C17" s="9">
        <v>21</v>
      </c>
      <c r="D17" s="10">
        <f>2*8*5</f>
        <v>80</v>
      </c>
      <c r="E17" s="11">
        <f>IF(OR(D17="",D17=0),"",D17*$X$1)</f>
        <v>5.6000000000000005</v>
      </c>
      <c r="F17" s="11">
        <f>IF(OR(D17="",D17=0),"",D17*$Z$1)</f>
        <v>4.8000000000000007</v>
      </c>
      <c r="G17" s="11">
        <f>IF(OR(D17="",D17=0),"",F17+E17)</f>
        <v>10.400000000000002</v>
      </c>
      <c r="H17" s="7">
        <f>IF(C17="","",C17)</f>
        <v>21</v>
      </c>
      <c r="I17" s="7">
        <f>IF(C17="","",IF(J17="",H17,H17-J17))</f>
        <v>10.599999999999998</v>
      </c>
      <c r="J17" s="7">
        <f>IF(OR(D17="",D17=0),"",G17)</f>
        <v>10.400000000000002</v>
      </c>
      <c r="K17" s="80"/>
      <c r="L17" s="80"/>
      <c r="M17" s="81"/>
      <c r="N17" s="81"/>
      <c r="O17" s="81"/>
      <c r="P17" s="81"/>
      <c r="Q17" s="81"/>
      <c r="R17" s="81"/>
      <c r="S17" s="81"/>
      <c r="T17" s="81"/>
      <c r="U17" s="81"/>
      <c r="V17" s="5">
        <f t="shared" si="6"/>
        <v>21000</v>
      </c>
      <c r="W17" s="5">
        <v>5</v>
      </c>
      <c r="X17" s="5">
        <f t="shared" si="2"/>
        <v>1960</v>
      </c>
      <c r="Y17" s="1">
        <f t="shared" si="7"/>
        <v>2100</v>
      </c>
      <c r="Z17" s="1">
        <v>2</v>
      </c>
      <c r="AA17" s="1">
        <v>900</v>
      </c>
      <c r="AB17" s="1">
        <v>160</v>
      </c>
      <c r="AC17" s="1">
        <v>120</v>
      </c>
      <c r="AD17" s="1">
        <v>7</v>
      </c>
      <c r="AE17" s="1">
        <v>60</v>
      </c>
      <c r="AF17" s="1">
        <v>1</v>
      </c>
      <c r="AG17" s="1">
        <v>80</v>
      </c>
      <c r="AH17" s="1">
        <v>60</v>
      </c>
    </row>
    <row r="18" spans="1:34" ht="14">
      <c r="A18" s="77"/>
      <c r="B18" s="6" t="s">
        <v>133</v>
      </c>
      <c r="C18" s="9">
        <v>15.5</v>
      </c>
      <c r="D18" s="10">
        <f>2*22*2</f>
        <v>88</v>
      </c>
      <c r="E18" s="11">
        <f t="shared" ref="E18" si="8">IF(OR(D18="",D18=0),"",D18*$X$1)</f>
        <v>6.16</v>
      </c>
      <c r="F18" s="11">
        <f t="shared" ref="F18" si="9">IF(OR(D18="",D18=0),"",D18*$Z$1)</f>
        <v>5.28</v>
      </c>
      <c r="G18" s="11">
        <f t="shared" ref="G18" si="10">IF(OR(D18="",D18=0),"",F18+E18)</f>
        <v>11.440000000000001</v>
      </c>
      <c r="H18" s="7">
        <f t="shared" ref="H18" si="11">IF(C18="","",C18)</f>
        <v>15.5</v>
      </c>
      <c r="I18" s="7">
        <f t="shared" ref="I18" si="12">IF(C18="","",IF(J18="",H18,H18-J18))</f>
        <v>4.0599999999999987</v>
      </c>
      <c r="J18" s="7">
        <f t="shared" ref="J18" si="13">IF(OR(D18="",D18=0),"",G18)</f>
        <v>11.440000000000001</v>
      </c>
      <c r="K18" s="80"/>
      <c r="L18" s="80"/>
      <c r="M18" s="81"/>
      <c r="N18" s="81"/>
      <c r="O18" s="81"/>
      <c r="P18" s="81"/>
      <c r="Q18" s="81"/>
      <c r="R18" s="81"/>
      <c r="S18" s="81"/>
      <c r="T18" s="81"/>
      <c r="U18" s="81"/>
      <c r="V18" s="5">
        <f t="shared" si="6"/>
        <v>15600</v>
      </c>
      <c r="W18" s="5">
        <v>2</v>
      </c>
      <c r="X18" s="5">
        <f t="shared" si="2"/>
        <v>3480</v>
      </c>
      <c r="Y18" s="1">
        <f t="shared" si="7"/>
        <v>3900</v>
      </c>
      <c r="Z18" s="5">
        <v>2</v>
      </c>
      <c r="AA18" s="5">
        <v>900</v>
      </c>
      <c r="AB18" s="5">
        <v>0</v>
      </c>
      <c r="AC18" s="5">
        <v>120</v>
      </c>
      <c r="AD18" s="5">
        <v>21</v>
      </c>
      <c r="AE18" s="5">
        <v>60</v>
      </c>
      <c r="AF18" s="5">
        <v>1</v>
      </c>
      <c r="AG18" s="5">
        <v>80</v>
      </c>
      <c r="AH18" s="5">
        <v>60</v>
      </c>
    </row>
    <row r="19" spans="1:34" ht="14">
      <c r="A19" s="77"/>
      <c r="B19" s="6" t="s">
        <v>130</v>
      </c>
      <c r="C19" s="9">
        <v>18.5</v>
      </c>
      <c r="D19" s="10">
        <f>2*16*3</f>
        <v>96</v>
      </c>
      <c r="E19" s="11">
        <f t="shared" ref="E19:E24" si="14">IF(OR(D19="",D19=0),"",D19*$X$1)</f>
        <v>6.7200000000000006</v>
      </c>
      <c r="F19" s="11">
        <f t="shared" ref="F19:F24" si="15">IF(OR(D19="",D19=0),"",D19*$Z$1)</f>
        <v>5.7600000000000007</v>
      </c>
      <c r="G19" s="11">
        <f t="shared" ref="G19:G24" si="16">IF(OR(D19="",D19=0),"",F19+E19)</f>
        <v>12.48</v>
      </c>
      <c r="H19" s="7">
        <f t="shared" ref="H19:H24" si="17">IF(C19="","",C19)</f>
        <v>18.5</v>
      </c>
      <c r="I19" s="7">
        <f t="shared" ref="I19:I24" si="18">IF(C19="","",IF(J19="",H19,H19-J19))</f>
        <v>6.02</v>
      </c>
      <c r="J19" s="7">
        <f t="shared" ref="J19:J24" si="19">IF(OR(D19="",D19=0),"",G19)</f>
        <v>12.48</v>
      </c>
      <c r="K19" s="80"/>
      <c r="L19" s="80"/>
      <c r="M19" s="81"/>
      <c r="N19" s="81"/>
      <c r="O19" s="81"/>
      <c r="P19" s="81"/>
      <c r="Q19" s="81"/>
      <c r="R19" s="81"/>
      <c r="S19" s="81"/>
      <c r="T19" s="81"/>
      <c r="U19" s="81"/>
      <c r="V19" s="1">
        <f>IF(AB19="","",W19*Y19*Z19)</f>
        <v>18360</v>
      </c>
      <c r="W19" s="1">
        <v>3</v>
      </c>
      <c r="X19" s="1">
        <f>IF(B19="","",AD19*AC19+AF19*AE19+AA19+AB19)</f>
        <v>2760</v>
      </c>
      <c r="Y19" s="1">
        <f>IF(OR(B19="",AG19="",AG19=0),"",AA19+AB19+AD19*AG19+AH19*(AD19+AF19))</f>
        <v>3060</v>
      </c>
      <c r="Z19" s="5">
        <v>2</v>
      </c>
      <c r="AA19" s="5">
        <v>900</v>
      </c>
      <c r="AB19" s="5">
        <v>0</v>
      </c>
      <c r="AC19" s="5">
        <v>120</v>
      </c>
      <c r="AD19" s="5">
        <v>15</v>
      </c>
      <c r="AE19" s="5">
        <v>60</v>
      </c>
      <c r="AF19" s="5">
        <v>1</v>
      </c>
      <c r="AG19" s="5">
        <v>80</v>
      </c>
      <c r="AH19" s="5">
        <v>60</v>
      </c>
    </row>
    <row r="20" spans="1:34" ht="14">
      <c r="A20" s="77"/>
      <c r="B20" s="2" t="s">
        <v>128</v>
      </c>
      <c r="C20" s="9">
        <v>15.5</v>
      </c>
      <c r="D20" s="10">
        <f>2*22*2</f>
        <v>88</v>
      </c>
      <c r="E20" s="11">
        <f t="shared" si="14"/>
        <v>6.16</v>
      </c>
      <c r="F20" s="11">
        <f t="shared" si="15"/>
        <v>5.28</v>
      </c>
      <c r="G20" s="11">
        <f t="shared" si="16"/>
        <v>11.440000000000001</v>
      </c>
      <c r="H20" s="7">
        <f t="shared" si="17"/>
        <v>15.5</v>
      </c>
      <c r="I20" s="7">
        <f t="shared" si="18"/>
        <v>4.0599999999999987</v>
      </c>
      <c r="J20" s="7">
        <f t="shared" si="19"/>
        <v>11.440000000000001</v>
      </c>
      <c r="K20" s="80"/>
      <c r="L20" s="80"/>
      <c r="M20" s="81"/>
      <c r="N20" s="81"/>
      <c r="O20" s="81"/>
      <c r="P20" s="81"/>
      <c r="Q20" s="81"/>
      <c r="R20" s="81"/>
      <c r="S20" s="81"/>
      <c r="T20" s="81"/>
      <c r="U20" s="81"/>
      <c r="V20" s="1">
        <f>IF(AB20="","",W20*Y20*Z20)</f>
        <v>15600</v>
      </c>
      <c r="W20" s="1">
        <v>2</v>
      </c>
      <c r="X20" s="1">
        <f>IF(B20="","",AD20*AC20+AF20*AE20+AA20+AB20)</f>
        <v>3480</v>
      </c>
      <c r="Y20" s="1">
        <f>IF(OR(B20="",AG20="",AG20=0),"",AA20+AB20+AD20*AG20+AH20*(AD20+AF20))</f>
        <v>3900</v>
      </c>
      <c r="Z20" s="5">
        <v>2</v>
      </c>
      <c r="AA20" s="5">
        <v>900</v>
      </c>
      <c r="AB20" s="5">
        <v>0</v>
      </c>
      <c r="AC20" s="5">
        <v>120</v>
      </c>
      <c r="AD20" s="5">
        <v>21</v>
      </c>
      <c r="AE20" s="5">
        <v>60</v>
      </c>
      <c r="AF20" s="5">
        <v>1</v>
      </c>
      <c r="AG20" s="5">
        <v>80</v>
      </c>
      <c r="AH20" s="5">
        <v>60</v>
      </c>
    </row>
    <row r="21" spans="1:34" ht="14">
      <c r="A21" s="77"/>
      <c r="B21" s="2" t="s">
        <v>129</v>
      </c>
      <c r="C21" s="9">
        <v>18.5</v>
      </c>
      <c r="D21" s="10">
        <f>2*16*3</f>
        <v>96</v>
      </c>
      <c r="E21" s="11">
        <f t="shared" si="14"/>
        <v>6.7200000000000006</v>
      </c>
      <c r="F21" s="11">
        <f t="shared" si="15"/>
        <v>5.7600000000000007</v>
      </c>
      <c r="G21" s="11">
        <f t="shared" si="16"/>
        <v>12.48</v>
      </c>
      <c r="H21" s="7">
        <f t="shared" si="17"/>
        <v>18.5</v>
      </c>
      <c r="I21" s="7">
        <f t="shared" si="18"/>
        <v>6.02</v>
      </c>
      <c r="J21" s="7">
        <f t="shared" si="19"/>
        <v>12.48</v>
      </c>
      <c r="K21" s="80"/>
      <c r="L21" s="80"/>
      <c r="M21" s="81"/>
      <c r="N21" s="81"/>
      <c r="O21" s="81"/>
      <c r="P21" s="81"/>
      <c r="Q21" s="81"/>
      <c r="R21" s="81"/>
      <c r="S21" s="81"/>
      <c r="T21" s="81"/>
      <c r="U21" s="81"/>
      <c r="V21" s="1">
        <f>IF(AB21="","",W21*Y21*Z21)</f>
        <v>18360</v>
      </c>
      <c r="W21" s="1">
        <v>3</v>
      </c>
      <c r="X21" s="1">
        <f>IF(B21="","",AD21*AC21+AF21*AE21+AA21+AB21)</f>
        <v>2760</v>
      </c>
      <c r="Y21" s="1">
        <f>IF(OR(B21="",AG21="",AG21=0),"",AA21+AB21+AD21*AG21+AH21*(AD21+AF21))</f>
        <v>3060</v>
      </c>
      <c r="Z21" s="5">
        <v>2</v>
      </c>
      <c r="AA21" s="5">
        <v>900</v>
      </c>
      <c r="AB21" s="5">
        <v>0</v>
      </c>
      <c r="AC21" s="5">
        <v>120</v>
      </c>
      <c r="AD21" s="5">
        <v>15</v>
      </c>
      <c r="AE21" s="5">
        <v>60</v>
      </c>
      <c r="AF21" s="5">
        <v>1</v>
      </c>
      <c r="AG21" s="5">
        <v>80</v>
      </c>
      <c r="AH21" s="5">
        <v>60</v>
      </c>
    </row>
    <row r="22" spans="1:34" ht="14">
      <c r="A22" s="77"/>
      <c r="B22" s="2" t="s">
        <v>131</v>
      </c>
      <c r="C22" s="9">
        <v>27.5</v>
      </c>
      <c r="D22" s="10">
        <f>3*16*3</f>
        <v>144</v>
      </c>
      <c r="E22" s="11">
        <f t="shared" si="14"/>
        <v>10.080000000000002</v>
      </c>
      <c r="F22" s="11">
        <f t="shared" si="15"/>
        <v>8.64</v>
      </c>
      <c r="G22" s="11">
        <f t="shared" si="16"/>
        <v>18.720000000000002</v>
      </c>
      <c r="H22" s="7">
        <f t="shared" si="17"/>
        <v>27.5</v>
      </c>
      <c r="I22" s="7">
        <f t="shared" si="18"/>
        <v>8.7799999999999976</v>
      </c>
      <c r="J22" s="7">
        <f t="shared" si="19"/>
        <v>18.720000000000002</v>
      </c>
      <c r="K22" s="80"/>
      <c r="L22" s="80"/>
      <c r="M22" s="81"/>
      <c r="N22" s="81"/>
      <c r="O22" s="81"/>
      <c r="P22" s="81"/>
      <c r="Q22" s="81"/>
      <c r="R22" s="81"/>
      <c r="S22" s="81"/>
      <c r="T22" s="81"/>
      <c r="U22" s="81"/>
      <c r="V22" s="1">
        <f>IF(AB22="","",W22*Y22*Z22)</f>
        <v>27540</v>
      </c>
      <c r="W22" s="1">
        <v>3</v>
      </c>
      <c r="X22" s="1">
        <f>IF(B22="","",AD22*AC22+AF22*AE22+AA22+AB22)</f>
        <v>2760</v>
      </c>
      <c r="Y22" s="1">
        <f>IF(OR(B22="",AG22="",AG22=0),"",AA22+AB22+AD22*AG22+AH22*(AD22+AF22))</f>
        <v>3060</v>
      </c>
      <c r="Z22" s="5">
        <v>3</v>
      </c>
      <c r="AA22" s="5">
        <v>900</v>
      </c>
      <c r="AB22" s="5">
        <v>0</v>
      </c>
      <c r="AC22" s="5">
        <v>120</v>
      </c>
      <c r="AD22" s="5">
        <v>15</v>
      </c>
      <c r="AE22" s="5">
        <v>60</v>
      </c>
      <c r="AF22" s="5">
        <v>1</v>
      </c>
      <c r="AG22" s="5">
        <v>80</v>
      </c>
      <c r="AH22" s="5">
        <v>60</v>
      </c>
    </row>
    <row r="23" spans="1:34" ht="14">
      <c r="A23" s="77"/>
      <c r="B23" s="2" t="s">
        <v>134</v>
      </c>
      <c r="C23" s="9">
        <v>6</v>
      </c>
      <c r="D23" s="10">
        <f>2*16*1</f>
        <v>32</v>
      </c>
      <c r="E23" s="11">
        <f t="shared" si="14"/>
        <v>2.2400000000000002</v>
      </c>
      <c r="F23" s="11">
        <f t="shared" si="15"/>
        <v>1.9200000000000002</v>
      </c>
      <c r="G23" s="11">
        <f t="shared" si="16"/>
        <v>4.16</v>
      </c>
      <c r="H23" s="7">
        <f t="shared" si="17"/>
        <v>6</v>
      </c>
      <c r="I23" s="7">
        <f t="shared" si="18"/>
        <v>1.8399999999999999</v>
      </c>
      <c r="J23" s="7">
        <f t="shared" si="19"/>
        <v>4.16</v>
      </c>
      <c r="K23" s="80"/>
      <c r="L23" s="80"/>
      <c r="M23" s="80"/>
      <c r="N23" s="80"/>
      <c r="O23" s="80"/>
      <c r="P23" s="80"/>
      <c r="Q23" s="80"/>
      <c r="R23" s="80"/>
      <c r="S23" s="80"/>
      <c r="T23" s="80"/>
      <c r="U23" s="80"/>
      <c r="V23" s="5">
        <f t="shared" ref="V23:V30" si="20">IF(AB23="","",W23*Y23*Z23)</f>
        <v>6120</v>
      </c>
      <c r="W23" s="5">
        <v>2</v>
      </c>
      <c r="X23" s="5">
        <f t="shared" ref="X23:X30" si="21">IF(B23="","",AD23*AC23+AF23*AE23+AA23+AB23)</f>
        <v>2760</v>
      </c>
      <c r="Y23" s="1">
        <f t="shared" ref="Y23:Y30" si="22">IF(OR(B23="",AG23="",AG23=0),"",AA23+AB23+AD23*AG23+AH23*(AD23+AF23))</f>
        <v>3060</v>
      </c>
      <c r="Z23" s="5">
        <v>1</v>
      </c>
      <c r="AA23" s="5">
        <v>900</v>
      </c>
      <c r="AB23" s="5">
        <v>0</v>
      </c>
      <c r="AC23" s="5">
        <v>120</v>
      </c>
      <c r="AD23" s="5">
        <v>15</v>
      </c>
      <c r="AE23" s="5">
        <v>60</v>
      </c>
      <c r="AF23" s="5">
        <v>1</v>
      </c>
      <c r="AG23" s="5">
        <v>80</v>
      </c>
      <c r="AH23" s="5">
        <v>60</v>
      </c>
    </row>
    <row r="24" spans="1:34" ht="14">
      <c r="A24" s="77"/>
      <c r="B24" s="2" t="s">
        <v>78</v>
      </c>
      <c r="C24" s="9">
        <v>9.5</v>
      </c>
      <c r="D24" s="10">
        <f>1*11*5</f>
        <v>55</v>
      </c>
      <c r="E24" s="11">
        <f t="shared" si="14"/>
        <v>3.8500000000000005</v>
      </c>
      <c r="F24" s="11">
        <f t="shared" si="15"/>
        <v>3.3000000000000003</v>
      </c>
      <c r="G24" s="11">
        <f t="shared" si="16"/>
        <v>7.15</v>
      </c>
      <c r="H24" s="7">
        <f t="shared" si="17"/>
        <v>9.5</v>
      </c>
      <c r="I24" s="7">
        <f t="shared" si="18"/>
        <v>2.3499999999999996</v>
      </c>
      <c r="J24" s="7">
        <f t="shared" si="19"/>
        <v>7.15</v>
      </c>
      <c r="K24" s="80"/>
      <c r="L24" s="80"/>
      <c r="M24" s="81"/>
      <c r="N24" s="81"/>
      <c r="O24" s="81"/>
      <c r="P24" s="81"/>
      <c r="Q24" s="81"/>
      <c r="R24" s="81"/>
      <c r="S24" s="81"/>
      <c r="T24" s="81"/>
      <c r="U24" s="81"/>
      <c r="V24" s="5">
        <f t="shared" si="20"/>
        <v>9440</v>
      </c>
      <c r="W24" s="5">
        <v>2</v>
      </c>
      <c r="X24" s="5">
        <f t="shared" si="21"/>
        <v>2160</v>
      </c>
      <c r="Y24" s="1">
        <f t="shared" si="22"/>
        <v>2360</v>
      </c>
      <c r="Z24" s="5">
        <v>2</v>
      </c>
      <c r="AA24" s="5">
        <v>900</v>
      </c>
      <c r="AB24" s="5">
        <v>0</v>
      </c>
      <c r="AC24" s="5">
        <v>120</v>
      </c>
      <c r="AD24" s="5">
        <v>10</v>
      </c>
      <c r="AE24" s="5">
        <v>60</v>
      </c>
      <c r="AF24" s="5">
        <v>1</v>
      </c>
      <c r="AG24" s="5">
        <v>80</v>
      </c>
      <c r="AH24" s="5">
        <v>60</v>
      </c>
    </row>
    <row r="25" spans="1:34" ht="14">
      <c r="A25" s="77"/>
      <c r="B25" s="2"/>
      <c r="C25" s="9"/>
      <c r="D25" s="10"/>
      <c r="E25" s="11" t="str">
        <f t="shared" ref="E25:E30" si="23">IF(OR(D25="",D25=0),"",D25*$X$1)</f>
        <v/>
      </c>
      <c r="F25" s="11" t="str">
        <f t="shared" ref="F25:F30" si="24">IF(OR(D25="",D25=0),"",D25*$Z$1)</f>
        <v/>
      </c>
      <c r="G25" s="11" t="str">
        <f t="shared" ref="G25:G30" si="25">IF(OR(D25="",D25=0),"",F25+E25)</f>
        <v/>
      </c>
      <c r="H25" s="7" t="str">
        <f t="shared" ref="H25:H30" si="26">IF(C25="","",C25)</f>
        <v/>
      </c>
      <c r="I25" s="7" t="str">
        <f t="shared" ref="I25:I30" si="27">IF(C25="","",IF(J25="",H25,H25-J25))</f>
        <v/>
      </c>
      <c r="J25" s="7" t="str">
        <f t="shared" ref="J25:J30" si="28">IF(OR(D25="",D25=0),"",G25)</f>
        <v/>
      </c>
      <c r="K25" s="80"/>
      <c r="L25" s="80"/>
      <c r="M25" s="81"/>
      <c r="N25" s="81"/>
      <c r="O25" s="81"/>
      <c r="P25" s="81"/>
      <c r="Q25" s="81"/>
      <c r="R25" s="81"/>
      <c r="S25" s="81"/>
      <c r="T25" s="81"/>
      <c r="U25" s="81"/>
      <c r="V25" s="5" t="str">
        <f t="shared" si="20"/>
        <v/>
      </c>
      <c r="X25" s="5" t="str">
        <f t="shared" si="21"/>
        <v/>
      </c>
      <c r="Y25" s="1" t="str">
        <f t="shared" si="22"/>
        <v/>
      </c>
    </row>
    <row r="26" spans="1:34" ht="14">
      <c r="A26" s="77"/>
      <c r="B26" s="6"/>
      <c r="C26" s="9"/>
      <c r="D26" s="10"/>
      <c r="E26" s="11" t="str">
        <f t="shared" si="23"/>
        <v/>
      </c>
      <c r="F26" s="11" t="str">
        <f t="shared" si="24"/>
        <v/>
      </c>
      <c r="G26" s="11" t="str">
        <f t="shared" si="25"/>
        <v/>
      </c>
      <c r="H26" s="7" t="str">
        <f t="shared" si="26"/>
        <v/>
      </c>
      <c r="I26" s="7" t="str">
        <f t="shared" si="27"/>
        <v/>
      </c>
      <c r="J26" s="7" t="str">
        <f t="shared" si="28"/>
        <v/>
      </c>
      <c r="K26" s="80"/>
      <c r="L26" s="80"/>
      <c r="M26" s="81"/>
      <c r="N26" s="81"/>
      <c r="O26" s="81"/>
      <c r="P26" s="81"/>
      <c r="Q26" s="81"/>
      <c r="R26" s="81"/>
      <c r="S26" s="81"/>
      <c r="T26" s="81"/>
      <c r="U26" s="81"/>
      <c r="V26" s="5" t="str">
        <f t="shared" si="20"/>
        <v/>
      </c>
      <c r="X26" s="5" t="str">
        <f t="shared" si="21"/>
        <v/>
      </c>
      <c r="Y26" s="1" t="str">
        <f t="shared" si="22"/>
        <v/>
      </c>
    </row>
    <row r="27" spans="1:34" ht="14">
      <c r="A27" s="77"/>
      <c r="B27" s="3" t="s">
        <v>35</v>
      </c>
      <c r="C27" s="9">
        <v>19</v>
      </c>
      <c r="D27" s="10"/>
      <c r="E27" s="11" t="str">
        <f t="shared" si="23"/>
        <v/>
      </c>
      <c r="F27" s="11" t="str">
        <f t="shared" si="24"/>
        <v/>
      </c>
      <c r="G27" s="11" t="str">
        <f t="shared" si="25"/>
        <v/>
      </c>
      <c r="H27" s="7">
        <f t="shared" si="26"/>
        <v>19</v>
      </c>
      <c r="I27" s="7">
        <f t="shared" si="27"/>
        <v>19</v>
      </c>
      <c r="J27" s="7" t="str">
        <f t="shared" si="28"/>
        <v/>
      </c>
      <c r="K27" s="80"/>
      <c r="L27" s="80"/>
      <c r="M27" s="81"/>
      <c r="N27" s="81"/>
      <c r="O27" s="81"/>
      <c r="P27" s="81"/>
      <c r="Q27" s="81"/>
      <c r="R27" s="81"/>
      <c r="S27" s="81"/>
      <c r="T27" s="81"/>
      <c r="U27" s="81"/>
      <c r="V27" s="5" t="str">
        <f t="shared" si="20"/>
        <v/>
      </c>
      <c r="X27" s="5">
        <f t="shared" si="21"/>
        <v>0</v>
      </c>
      <c r="Y27" s="1" t="str">
        <f t="shared" si="22"/>
        <v/>
      </c>
    </row>
    <row r="28" spans="1:34" ht="14">
      <c r="A28" s="77"/>
      <c r="B28" s="2"/>
      <c r="C28" s="9"/>
      <c r="D28" s="10"/>
      <c r="E28" s="11" t="str">
        <f t="shared" si="23"/>
        <v/>
      </c>
      <c r="F28" s="11" t="str">
        <f t="shared" si="24"/>
        <v/>
      </c>
      <c r="G28" s="11" t="str">
        <f t="shared" si="25"/>
        <v/>
      </c>
      <c r="H28" s="7" t="str">
        <f t="shared" si="26"/>
        <v/>
      </c>
      <c r="I28" s="7" t="str">
        <f t="shared" si="27"/>
        <v/>
      </c>
      <c r="J28" s="7" t="str">
        <f t="shared" si="28"/>
        <v/>
      </c>
      <c r="K28" s="80"/>
      <c r="L28" s="80"/>
      <c r="M28" s="81"/>
      <c r="N28" s="81"/>
      <c r="O28" s="81"/>
      <c r="P28" s="81"/>
      <c r="Q28" s="81"/>
      <c r="R28" s="81"/>
      <c r="S28" s="81"/>
      <c r="T28" s="81"/>
      <c r="U28" s="81"/>
      <c r="V28" s="5" t="str">
        <f t="shared" si="20"/>
        <v/>
      </c>
      <c r="X28" s="5" t="str">
        <f t="shared" si="21"/>
        <v/>
      </c>
      <c r="Y28" s="1" t="str">
        <f t="shared" si="22"/>
        <v/>
      </c>
    </row>
    <row r="29" spans="1:34" ht="14">
      <c r="A29" s="77"/>
      <c r="B29"/>
      <c r="C29" s="9"/>
      <c r="D29" s="10"/>
      <c r="E29" s="11" t="str">
        <f t="shared" si="23"/>
        <v/>
      </c>
      <c r="F29" s="11" t="str">
        <f t="shared" si="24"/>
        <v/>
      </c>
      <c r="G29" s="11" t="str">
        <f t="shared" si="25"/>
        <v/>
      </c>
      <c r="H29" s="7" t="str">
        <f t="shared" si="26"/>
        <v/>
      </c>
      <c r="I29" s="7" t="str">
        <f t="shared" si="27"/>
        <v/>
      </c>
      <c r="J29" s="7" t="str">
        <f t="shared" si="28"/>
        <v/>
      </c>
      <c r="K29" s="80"/>
      <c r="L29" s="80"/>
      <c r="M29" s="80"/>
      <c r="N29" s="80"/>
      <c r="O29" s="80"/>
      <c r="P29" s="80"/>
      <c r="Q29" s="80"/>
      <c r="R29" s="80"/>
      <c r="S29" s="80"/>
      <c r="T29" s="80"/>
      <c r="U29" s="80"/>
      <c r="V29" s="5" t="str">
        <f t="shared" si="20"/>
        <v/>
      </c>
      <c r="X29" s="5" t="str">
        <f t="shared" si="21"/>
        <v/>
      </c>
      <c r="Y29" s="1" t="str">
        <f t="shared" si="22"/>
        <v/>
      </c>
    </row>
    <row r="30" spans="1:34" ht="14">
      <c r="A30" s="77"/>
      <c r="B30"/>
      <c r="C30" s="9"/>
      <c r="D30" s="10"/>
      <c r="E30" s="11" t="str">
        <f t="shared" si="23"/>
        <v/>
      </c>
      <c r="F30" s="11" t="str">
        <f t="shared" si="24"/>
        <v/>
      </c>
      <c r="G30" s="11" t="str">
        <f t="shared" si="25"/>
        <v/>
      </c>
      <c r="H30" s="7" t="str">
        <f t="shared" si="26"/>
        <v/>
      </c>
      <c r="I30" s="7" t="str">
        <f t="shared" si="27"/>
        <v/>
      </c>
      <c r="J30" s="7" t="str">
        <f t="shared" si="28"/>
        <v/>
      </c>
      <c r="K30" s="80"/>
      <c r="L30" s="80"/>
      <c r="M30" s="80"/>
      <c r="N30" s="80"/>
      <c r="O30" s="80"/>
      <c r="P30" s="80"/>
      <c r="Q30" s="80"/>
      <c r="R30" s="80"/>
      <c r="S30" s="80"/>
      <c r="T30" s="80"/>
      <c r="U30" s="80"/>
      <c r="V30" s="5" t="str">
        <f t="shared" si="20"/>
        <v/>
      </c>
      <c r="X30" s="5" t="str">
        <f t="shared" si="21"/>
        <v/>
      </c>
      <c r="Y30" s="1" t="str">
        <f t="shared" si="22"/>
        <v/>
      </c>
    </row>
    <row r="31" spans="1:34" ht="37" customHeight="1">
      <c r="A31" s="77"/>
      <c r="B31" s="77"/>
      <c r="C31"/>
      <c r="D31"/>
      <c r="E31"/>
      <c r="F31"/>
      <c r="G31"/>
      <c r="H31"/>
      <c r="I31"/>
      <c r="J31"/>
      <c r="K31" s="79" t="s">
        <v>50</v>
      </c>
      <c r="L31" s="79"/>
      <c r="M31" s="23" t="s">
        <v>51</v>
      </c>
      <c r="N31" s="23" t="s">
        <v>52</v>
      </c>
      <c r="O31" s="23" t="s">
        <v>53</v>
      </c>
      <c r="P31"/>
      <c r="Q31"/>
      <c r="R31"/>
      <c r="S31"/>
      <c r="T31"/>
      <c r="U31"/>
    </row>
    <row r="32" spans="1:34" ht="14">
      <c r="A32" s="77"/>
      <c r="B32" s="77"/>
      <c r="C32" s="11"/>
      <c r="D32" s="12"/>
      <c r="E32" s="11"/>
      <c r="F32" s="11"/>
      <c r="G32" s="11"/>
      <c r="H32" s="7" t="s">
        <v>17</v>
      </c>
      <c r="I32" s="7"/>
      <c r="J32" s="5" t="s">
        <v>36</v>
      </c>
      <c r="K32" s="13">
        <f>K4-O4</f>
        <v>109.72999999999999</v>
      </c>
      <c r="L32" s="13">
        <f>L4-O4</f>
        <v>0</v>
      </c>
      <c r="M32" s="13">
        <f>O4</f>
        <v>88.27000000000001</v>
      </c>
      <c r="N32" s="13">
        <f>N4*2.1</f>
        <v>47.53</v>
      </c>
      <c r="O32" s="13">
        <f>N4*1.8</f>
        <v>40.74</v>
      </c>
      <c r="P32" s="22"/>
      <c r="Q32" s="22"/>
      <c r="R32" s="22"/>
      <c r="S32" s="22"/>
      <c r="T32" s="22"/>
      <c r="U32" s="22"/>
    </row>
    <row r="33" spans="1:21" ht="14">
      <c r="A33" s="1" t="s">
        <v>37</v>
      </c>
      <c r="B33" s="2"/>
      <c r="C33" s="14"/>
      <c r="D33" s="14"/>
      <c r="E33" s="14"/>
      <c r="F33" s="14"/>
      <c r="G33" s="14"/>
      <c r="H33" s="7"/>
      <c r="I33" s="7"/>
      <c r="J33" s="7"/>
      <c r="K33" s="7">
        <f>SUM(H33:H33)</f>
        <v>0</v>
      </c>
      <c r="L33" s="7">
        <f>SUM(J33:J33)</f>
        <v>0</v>
      </c>
      <c r="M33" s="7"/>
      <c r="N33" s="7"/>
      <c r="O33" s="7"/>
      <c r="P33" s="7">
        <f>K33/$Q$1</f>
        <v>0</v>
      </c>
      <c r="Q33" s="7">
        <f>L33/$Q$1</f>
        <v>0</v>
      </c>
      <c r="R33" s="15">
        <v>0</v>
      </c>
      <c r="S33" s="15">
        <v>0</v>
      </c>
      <c r="T33" s="7">
        <f>R33/$U$1</f>
        <v>0</v>
      </c>
      <c r="U33" s="7">
        <f>S33/$U$1</f>
        <v>0</v>
      </c>
    </row>
    <row r="34" spans="1:21" s="5" customFormat="1" ht="12.75" customHeight="1">
      <c r="A34" s="77" t="s">
        <v>54</v>
      </c>
      <c r="B34"/>
      <c r="C34" s="14"/>
      <c r="D34" s="14"/>
      <c r="E34" s="14"/>
      <c r="F34" s="14"/>
      <c r="G34" s="14"/>
      <c r="H34" s="7"/>
      <c r="I34" s="7"/>
      <c r="J34" s="7"/>
      <c r="K34" s="76">
        <f>SUM(H34:H37)</f>
        <v>1.5</v>
      </c>
      <c r="L34" s="76">
        <f>SUM(J34:J37)</f>
        <v>0</v>
      </c>
      <c r="M34" s="22"/>
      <c r="N34" s="22"/>
      <c r="O34" s="22"/>
      <c r="P34" s="76">
        <f>K34/$Q$1</f>
        <v>0.25423728813559321</v>
      </c>
      <c r="Q34" s="76">
        <f>L34/$Q$1</f>
        <v>0</v>
      </c>
      <c r="R34" s="78">
        <v>0</v>
      </c>
      <c r="S34" s="78">
        <v>0</v>
      </c>
      <c r="T34" s="76">
        <f>R34/$U$1</f>
        <v>0</v>
      </c>
      <c r="U34" s="76">
        <f>S34/$U$1</f>
        <v>0</v>
      </c>
    </row>
    <row r="35" spans="1:21" s="5" customFormat="1">
      <c r="A35" s="77"/>
      <c r="B35" t="s">
        <v>64</v>
      </c>
      <c r="C35" s="14"/>
      <c r="D35" s="14"/>
      <c r="E35" s="14"/>
      <c r="F35" s="14"/>
      <c r="G35" s="14"/>
      <c r="H35" s="7">
        <v>1.5</v>
      </c>
      <c r="I35" s="7"/>
      <c r="J35"/>
      <c r="K35" s="76"/>
      <c r="L35" s="76"/>
      <c r="M35" s="22"/>
      <c r="N35" s="22"/>
      <c r="O35" s="22"/>
      <c r="P35" s="76"/>
      <c r="Q35" s="76"/>
      <c r="R35" s="78"/>
      <c r="S35" s="78"/>
      <c r="T35" s="76"/>
      <c r="U35" s="76"/>
    </row>
    <row r="36" spans="1:21" s="5" customFormat="1">
      <c r="A36" s="77"/>
      <c r="B36" s="6"/>
      <c r="C36" s="1"/>
      <c r="D36" s="1"/>
      <c r="E36" s="1"/>
      <c r="F36" s="1"/>
      <c r="G36" s="1"/>
      <c r="H36" s="7"/>
      <c r="I36" s="7"/>
      <c r="J36" s="7"/>
      <c r="K36" s="76"/>
      <c r="L36" s="76"/>
      <c r="M36" s="22"/>
      <c r="N36" s="22"/>
      <c r="O36" s="22"/>
      <c r="P36" s="76"/>
      <c r="Q36" s="76"/>
      <c r="R36" s="78"/>
      <c r="S36" s="78"/>
      <c r="T36" s="76"/>
      <c r="U36" s="76"/>
    </row>
    <row r="37" spans="1:21" s="5" customFormat="1">
      <c r="A37" s="77"/>
      <c r="B37" s="2"/>
      <c r="C37" s="14"/>
      <c r="D37" s="14"/>
      <c r="E37" s="14"/>
      <c r="F37" s="14"/>
      <c r="G37" s="14"/>
      <c r="H37" s="7"/>
      <c r="I37" s="7"/>
      <c r="J37" s="7"/>
      <c r="K37" s="76"/>
      <c r="L37" s="76"/>
      <c r="M37" s="22"/>
      <c r="N37" s="22"/>
      <c r="O37" s="22"/>
      <c r="P37" s="76"/>
      <c r="Q37" s="76"/>
      <c r="R37" s="78"/>
      <c r="S37" s="78"/>
      <c r="T37" s="76"/>
      <c r="U37" s="76"/>
    </row>
    <row r="38" spans="1:21" s="5" customFormat="1">
      <c r="A38" s="77" t="s">
        <v>38</v>
      </c>
      <c r="B38"/>
      <c r="C38"/>
      <c r="D38"/>
      <c r="E38"/>
      <c r="F38"/>
      <c r="G38"/>
      <c r="H38" s="7"/>
      <c r="I38" s="7"/>
      <c r="J38"/>
      <c r="K38" s="76">
        <f>SUM(H38:H43)</f>
        <v>9</v>
      </c>
      <c r="L38" s="76"/>
      <c r="M38" s="22"/>
      <c r="N38" s="22"/>
      <c r="O38" s="22"/>
      <c r="P38" s="76"/>
      <c r="Q38" s="76"/>
      <c r="R38" s="78"/>
      <c r="S38" s="78"/>
      <c r="T38" s="76"/>
      <c r="U38" s="76"/>
    </row>
    <row r="39" spans="1:21" s="5" customFormat="1">
      <c r="A39" s="77"/>
      <c r="B39" s="16"/>
      <c r="C39"/>
      <c r="D39"/>
      <c r="E39"/>
      <c r="F39"/>
      <c r="G39"/>
      <c r="H39" s="7"/>
      <c r="I39" s="7"/>
      <c r="J39"/>
      <c r="K39" s="76"/>
      <c r="L39" s="76"/>
      <c r="M39" s="22"/>
      <c r="N39" s="22"/>
      <c r="O39" s="22"/>
      <c r="P39" s="76"/>
      <c r="Q39" s="76"/>
      <c r="R39" s="78"/>
      <c r="S39" s="78"/>
      <c r="T39" s="76"/>
      <c r="U39" s="76"/>
    </row>
    <row r="40" spans="1:21" s="5" customFormat="1">
      <c r="A40" s="77"/>
      <c r="B40" s="6"/>
      <c r="C40"/>
      <c r="D40"/>
      <c r="E40"/>
      <c r="F40"/>
      <c r="G40"/>
      <c r="H40" s="7"/>
      <c r="I40" s="7"/>
      <c r="J40"/>
      <c r="K40" s="76"/>
      <c r="L40" s="76"/>
      <c r="M40" s="22"/>
      <c r="N40" s="22"/>
      <c r="O40" s="22"/>
      <c r="P40" s="76"/>
      <c r="Q40" s="76"/>
      <c r="R40" s="78"/>
      <c r="S40" s="78"/>
      <c r="T40" s="76"/>
      <c r="U40" s="76"/>
    </row>
    <row r="41" spans="1:21" s="5" customFormat="1">
      <c r="A41" s="77"/>
      <c r="B41" t="s">
        <v>71</v>
      </c>
      <c r="C41"/>
      <c r="D41"/>
      <c r="E41"/>
      <c r="F41"/>
      <c r="G41"/>
      <c r="H41" s="7">
        <v>9</v>
      </c>
      <c r="I41" s="7"/>
      <c r="J41"/>
      <c r="K41" s="76"/>
      <c r="L41" s="76"/>
      <c r="M41" s="22"/>
      <c r="N41" s="22"/>
      <c r="O41" s="22"/>
      <c r="P41" s="76"/>
      <c r="Q41" s="76"/>
      <c r="R41" s="78"/>
      <c r="S41" s="78"/>
      <c r="T41" s="76"/>
      <c r="U41" s="76"/>
    </row>
    <row r="42" spans="1:21" s="5" customFormat="1">
      <c r="A42" s="77"/>
      <c r="B42" s="16"/>
      <c r="C42"/>
      <c r="D42"/>
      <c r="E42"/>
      <c r="F42"/>
      <c r="G42"/>
      <c r="H42" s="7"/>
      <c r="I42"/>
      <c r="J42"/>
      <c r="K42" s="76"/>
      <c r="L42" s="76"/>
      <c r="M42" s="22"/>
      <c r="N42" s="22"/>
      <c r="O42" s="22"/>
      <c r="P42" s="76"/>
      <c r="Q42" s="76"/>
      <c r="R42" s="78"/>
      <c r="S42" s="78"/>
      <c r="T42" s="76"/>
      <c r="U42" s="76"/>
    </row>
    <row r="43" spans="1:21" s="5" customFormat="1">
      <c r="A43" s="77"/>
      <c r="B43" s="2"/>
      <c r="C43" s="14"/>
      <c r="D43" s="14"/>
      <c r="E43" s="14"/>
      <c r="F43" s="14"/>
      <c r="G43" s="14"/>
      <c r="H43" s="7"/>
      <c r="I43" s="7"/>
      <c r="J43" s="7"/>
      <c r="K43" s="76"/>
      <c r="L43" s="76"/>
      <c r="M43" s="22"/>
      <c r="N43" s="22"/>
      <c r="O43" s="22"/>
      <c r="P43" s="76"/>
      <c r="Q43" s="76"/>
      <c r="R43" s="78"/>
      <c r="S43" s="78"/>
      <c r="T43" s="76"/>
      <c r="U43" s="76"/>
    </row>
    <row r="44" spans="1:21" s="5" customFormat="1" ht="12.75" customHeight="1">
      <c r="A44" s="77" t="s">
        <v>39</v>
      </c>
      <c r="B44" s="2" t="s">
        <v>135</v>
      </c>
      <c r="C44" s="14"/>
      <c r="D44" s="14"/>
      <c r="E44" s="14"/>
      <c r="F44" s="14"/>
      <c r="G44" s="14"/>
      <c r="H44" s="7">
        <v>2</v>
      </c>
      <c r="I44" s="7"/>
      <c r="J44" s="7"/>
      <c r="K44" s="76">
        <f>SUM(H44:H50)</f>
        <v>2</v>
      </c>
      <c r="L44" s="76">
        <f>SUM(I44:I50)</f>
        <v>0</v>
      </c>
      <c r="M44" s="22"/>
      <c r="N44" s="22"/>
      <c r="O44" s="22"/>
      <c r="P44" s="76">
        <f>K44/$Q$1</f>
        <v>0.33898305084745761</v>
      </c>
      <c r="Q44" s="76">
        <f>L44/$Q$1</f>
        <v>0</v>
      </c>
      <c r="R44" s="78">
        <v>0</v>
      </c>
      <c r="S44" s="78">
        <v>0</v>
      </c>
      <c r="T44" s="76">
        <f>R44/$U$1</f>
        <v>0</v>
      </c>
      <c r="U44" s="76">
        <f>S44/$U$1</f>
        <v>0</v>
      </c>
    </row>
    <row r="45" spans="1:21" s="5" customFormat="1">
      <c r="A45" s="77"/>
      <c r="B45" s="2"/>
      <c r="C45" s="14"/>
      <c r="D45" s="14"/>
      <c r="E45" s="14"/>
      <c r="F45" s="14"/>
      <c r="G45" s="14"/>
      <c r="H45" s="7"/>
      <c r="I45" s="7"/>
      <c r="J45" s="7"/>
      <c r="K45" s="76"/>
      <c r="L45" s="76"/>
      <c r="M45" s="22"/>
      <c r="N45" s="22"/>
      <c r="O45" s="22"/>
      <c r="P45" s="76"/>
      <c r="Q45" s="76"/>
      <c r="R45" s="78"/>
      <c r="S45" s="78"/>
      <c r="T45" s="76"/>
      <c r="U45" s="76"/>
    </row>
    <row r="46" spans="1:21" s="5" customFormat="1">
      <c r="A46" s="77"/>
      <c r="B46" s="2"/>
      <c r="C46" s="14"/>
      <c r="D46" s="14"/>
      <c r="E46" s="14"/>
      <c r="F46" s="14"/>
      <c r="G46" s="14"/>
      <c r="H46" s="7"/>
      <c r="I46" s="7"/>
      <c r="J46" s="7"/>
      <c r="K46" s="76"/>
      <c r="L46" s="76"/>
      <c r="M46" s="22"/>
      <c r="N46" s="22"/>
      <c r="O46" s="22"/>
      <c r="P46" s="76"/>
      <c r="Q46" s="76"/>
      <c r="R46" s="78"/>
      <c r="S46" s="78"/>
      <c r="T46" s="76"/>
      <c r="U46" s="76"/>
    </row>
    <row r="47" spans="1:21" s="5" customFormat="1">
      <c r="A47" s="77"/>
      <c r="B47" s="2"/>
      <c r="C47" s="14"/>
      <c r="D47" s="14"/>
      <c r="E47" s="14"/>
      <c r="F47" s="14"/>
      <c r="G47" s="14"/>
      <c r="H47" s="7"/>
      <c r="I47" s="7"/>
      <c r="J47" s="7"/>
      <c r="K47" s="76"/>
      <c r="L47" s="76"/>
      <c r="M47" s="22"/>
      <c r="N47" s="22"/>
      <c r="O47" s="22"/>
      <c r="P47" s="76"/>
      <c r="Q47" s="76"/>
      <c r="R47" s="78"/>
      <c r="S47" s="78"/>
      <c r="T47" s="76"/>
      <c r="U47" s="76"/>
    </row>
    <row r="48" spans="1:21" s="5" customFormat="1">
      <c r="A48" s="77"/>
      <c r="B48" s="2"/>
      <c r="C48" s="14"/>
      <c r="D48" s="14"/>
      <c r="E48" s="14"/>
      <c r="F48" s="14"/>
      <c r="G48" s="14"/>
      <c r="H48" s="7"/>
      <c r="I48" s="7"/>
      <c r="J48" s="7"/>
      <c r="K48" s="76"/>
      <c r="L48" s="76"/>
      <c r="M48" s="22"/>
      <c r="N48" s="22"/>
      <c r="O48" s="22"/>
      <c r="P48" s="76"/>
      <c r="Q48" s="76"/>
      <c r="R48" s="78"/>
      <c r="S48" s="78"/>
      <c r="T48" s="76"/>
      <c r="U48" s="76"/>
    </row>
    <row r="49" spans="1:21" s="5" customFormat="1">
      <c r="A49" s="77"/>
      <c r="B49" s="2"/>
      <c r="C49" s="14"/>
      <c r="D49" s="14"/>
      <c r="E49" s="14"/>
      <c r="F49" s="14"/>
      <c r="G49" s="14"/>
      <c r="H49" s="7"/>
      <c r="I49" s="7"/>
      <c r="J49" s="7"/>
      <c r="K49" s="76"/>
      <c r="L49" s="76"/>
      <c r="M49" s="22"/>
      <c r="N49" s="22"/>
      <c r="O49" s="22"/>
      <c r="P49" s="76"/>
      <c r="Q49" s="76"/>
      <c r="R49" s="78"/>
      <c r="S49" s="78"/>
      <c r="T49" s="76"/>
      <c r="U49" s="76"/>
    </row>
    <row r="50" spans="1:21" s="5" customFormat="1">
      <c r="A50" s="77"/>
      <c r="B50" s="2"/>
      <c r="C50" s="14"/>
      <c r="D50" s="14"/>
      <c r="E50" s="14"/>
      <c r="F50" s="14"/>
      <c r="G50" s="14"/>
      <c r="H50" s="7"/>
      <c r="I50" s="7"/>
      <c r="J50" s="7"/>
      <c r="K50" s="76"/>
      <c r="L50" s="76"/>
      <c r="M50" s="22"/>
      <c r="N50" s="22"/>
      <c r="O50" s="22"/>
      <c r="P50" s="76"/>
      <c r="Q50" s="76"/>
      <c r="R50" s="78"/>
      <c r="S50" s="78"/>
      <c r="T50" s="76"/>
      <c r="U50" s="76"/>
    </row>
    <row r="51" spans="1:21" s="5" customFormat="1" ht="12.75" customHeight="1">
      <c r="A51" s="77" t="s">
        <v>40</v>
      </c>
      <c r="B51"/>
      <c r="C51" s="14"/>
      <c r="D51" s="14"/>
      <c r="E51" s="14"/>
      <c r="F51" s="14"/>
      <c r="G51" s="14"/>
      <c r="H51" s="7"/>
      <c r="I51" s="7"/>
      <c r="J51" s="7"/>
      <c r="K51" s="76">
        <f>SUM(H51:H58)</f>
        <v>0</v>
      </c>
      <c r="L51" s="76">
        <f>SUM(J51:J58)</f>
        <v>0</v>
      </c>
      <c r="M51" s="22"/>
      <c r="N51" s="22"/>
      <c r="O51" s="22"/>
      <c r="P51" s="76">
        <f>K51/$Q$1</f>
        <v>0</v>
      </c>
      <c r="Q51" s="76">
        <f>L51/$Q$1</f>
        <v>0</v>
      </c>
      <c r="R51" s="76">
        <v>0</v>
      </c>
      <c r="S51" s="76">
        <v>0</v>
      </c>
      <c r="T51" s="76">
        <f>R51/$U$1</f>
        <v>0</v>
      </c>
      <c r="U51" s="76">
        <f>S51/$U$1</f>
        <v>0</v>
      </c>
    </row>
    <row r="52" spans="1:21" s="5" customFormat="1">
      <c r="A52" s="77"/>
      <c r="B52"/>
      <c r="C52" s="14"/>
      <c r="D52" s="14"/>
      <c r="E52" s="14"/>
      <c r="F52" s="14"/>
      <c r="G52" s="14"/>
      <c r="H52" s="7"/>
      <c r="I52" s="7"/>
      <c r="J52" s="7"/>
      <c r="K52" s="76"/>
      <c r="L52" s="76"/>
      <c r="M52" s="22"/>
      <c r="N52" s="22"/>
      <c r="O52" s="22"/>
      <c r="P52" s="76"/>
      <c r="Q52" s="76"/>
      <c r="R52" s="76"/>
      <c r="S52" s="76"/>
      <c r="T52" s="76"/>
      <c r="U52" s="76"/>
    </row>
    <row r="53" spans="1:21" s="5" customFormat="1">
      <c r="A53" s="77"/>
      <c r="B53"/>
      <c r="C53" s="14"/>
      <c r="D53" s="14"/>
      <c r="E53" s="14"/>
      <c r="F53" s="14"/>
      <c r="G53" s="14"/>
      <c r="H53" s="7"/>
      <c r="I53" s="7"/>
      <c r="J53" s="7"/>
      <c r="K53" s="76"/>
      <c r="L53" s="76"/>
      <c r="M53" s="22"/>
      <c r="N53" s="22"/>
      <c r="O53" s="22"/>
      <c r="P53" s="76"/>
      <c r="Q53" s="76"/>
      <c r="R53" s="76"/>
      <c r="S53" s="76"/>
      <c r="T53" s="76"/>
      <c r="U53" s="76"/>
    </row>
    <row r="54" spans="1:21" s="5" customFormat="1">
      <c r="A54" s="77"/>
      <c r="B54"/>
      <c r="C54" s="14"/>
      <c r="D54" s="14"/>
      <c r="E54" s="14"/>
      <c r="F54" s="14"/>
      <c r="G54" s="14"/>
      <c r="H54" s="7"/>
      <c r="I54" s="7"/>
      <c r="J54" s="7"/>
      <c r="K54" s="76"/>
      <c r="L54" s="76"/>
      <c r="M54" s="22"/>
      <c r="N54" s="22"/>
      <c r="O54" s="22"/>
      <c r="P54" s="76"/>
      <c r="Q54" s="76"/>
      <c r="R54" s="76"/>
      <c r="S54" s="76"/>
      <c r="T54" s="76"/>
      <c r="U54" s="76"/>
    </row>
    <row r="55" spans="1:21" s="5" customFormat="1">
      <c r="A55" s="77"/>
      <c r="B55"/>
      <c r="C55" s="14"/>
      <c r="D55" s="14"/>
      <c r="E55" s="14"/>
      <c r="F55" s="14"/>
      <c r="G55" s="14"/>
      <c r="H55" s="7"/>
      <c r="I55" s="7"/>
      <c r="J55" s="7"/>
      <c r="K55" s="76"/>
      <c r="L55" s="76"/>
      <c r="M55" s="22"/>
      <c r="N55" s="22"/>
      <c r="O55" s="22"/>
      <c r="P55" s="76"/>
      <c r="Q55" s="76"/>
      <c r="R55" s="76"/>
      <c r="S55" s="76"/>
      <c r="T55" s="76"/>
      <c r="U55" s="76"/>
    </row>
    <row r="56" spans="1:21" s="5" customFormat="1">
      <c r="A56" s="77"/>
      <c r="B56" s="2"/>
      <c r="C56"/>
      <c r="D56"/>
      <c r="E56"/>
      <c r="F56"/>
      <c r="G56"/>
      <c r="H56" s="7"/>
      <c r="I56" s="7"/>
      <c r="J56" s="7"/>
      <c r="K56" s="76"/>
      <c r="L56" s="76"/>
      <c r="M56" s="22"/>
      <c r="N56" s="22"/>
      <c r="O56" s="22"/>
      <c r="P56" s="76"/>
      <c r="Q56" s="76"/>
      <c r="R56" s="76"/>
      <c r="S56" s="76"/>
      <c r="T56" s="76"/>
      <c r="U56" s="76"/>
    </row>
    <row r="57" spans="1:21" s="5" customFormat="1">
      <c r="A57" s="77"/>
      <c r="B57" s="2"/>
      <c r="C57" s="14"/>
      <c r="D57" s="14"/>
      <c r="E57" s="14"/>
      <c r="F57" s="14"/>
      <c r="G57" s="14"/>
      <c r="H57" s="7"/>
      <c r="I57" s="7"/>
      <c r="J57"/>
      <c r="K57" s="76"/>
      <c r="L57" s="76"/>
      <c r="M57" s="22"/>
      <c r="N57" s="22"/>
      <c r="O57" s="22"/>
      <c r="P57" s="76"/>
      <c r="Q57" s="76"/>
      <c r="R57" s="76"/>
      <c r="S57" s="76"/>
      <c r="T57" s="76"/>
      <c r="U57" s="76"/>
    </row>
    <row r="58" spans="1:21" s="5" customFormat="1">
      <c r="A58" s="77"/>
      <c r="B58" s="2"/>
      <c r="C58" s="14"/>
      <c r="D58" s="14"/>
      <c r="E58" s="14"/>
      <c r="F58" s="14"/>
      <c r="G58" s="14"/>
      <c r="H58" s="7"/>
      <c r="I58" s="7"/>
      <c r="J58"/>
      <c r="K58" s="76"/>
      <c r="L58" s="76"/>
      <c r="M58" s="22"/>
      <c r="N58" s="22"/>
      <c r="O58" s="22"/>
      <c r="P58" s="76"/>
      <c r="Q58" s="76"/>
      <c r="R58" s="76"/>
      <c r="S58" s="76"/>
      <c r="T58" s="76"/>
      <c r="U58" s="76"/>
    </row>
    <row r="59" spans="1:21" s="5" customFormat="1" ht="14">
      <c r="B59" s="17" t="s">
        <v>82</v>
      </c>
      <c r="C59" s="14"/>
      <c r="D59" s="14"/>
      <c r="E59" s="14"/>
      <c r="F59" s="14"/>
      <c r="G59" s="14"/>
      <c r="H59" s="7"/>
      <c r="I59" s="7"/>
      <c r="J59" s="7"/>
      <c r="K59" s="7">
        <f>SUM(K4:K58)-K32</f>
        <v>210.50000000000003</v>
      </c>
      <c r="L59" s="7">
        <f>SUM(L4:L58)-L32</f>
        <v>88.27000000000001</v>
      </c>
      <c r="M59" s="7"/>
      <c r="N59" s="7"/>
      <c r="O59" s="7"/>
      <c r="P59" s="7">
        <f>K59/$Q$1</f>
        <v>35.677966101694921</v>
      </c>
      <c r="Q59" s="7">
        <f>L59/$Q$1</f>
        <v>14.961016949152544</v>
      </c>
      <c r="R59" s="7" t="e">
        <f>R4+R33+R34+#REF!+#REF!+R44+R51</f>
        <v>#REF!</v>
      </c>
      <c r="S59" s="7" t="e">
        <f>S4+S33+S34+#REF!+#REF!+S44+S51</f>
        <v>#REF!</v>
      </c>
      <c r="T59" s="7" t="e">
        <f>R59/$U$1</f>
        <v>#REF!</v>
      </c>
      <c r="U59" s="7" t="e">
        <f>S59/$U$1</f>
        <v>#REF!</v>
      </c>
    </row>
    <row r="60" spans="1:21" s="5" customFormat="1" ht="14">
      <c r="B60" s="18" t="s">
        <v>83</v>
      </c>
      <c r="C60" s="14"/>
      <c r="D60" s="14"/>
      <c r="E60" s="14"/>
      <c r="F60" s="14"/>
      <c r="G60" s="14"/>
      <c r="H60" s="7"/>
      <c r="I60" s="7"/>
      <c r="J60" s="7"/>
      <c r="K60" s="19">
        <f>K59-$O$4</f>
        <v>122.23000000000002</v>
      </c>
      <c r="L60" s="19">
        <f>L59-$O$4</f>
        <v>0</v>
      </c>
      <c r="M60" s="7"/>
      <c r="N60" s="7"/>
      <c r="O60" s="7"/>
      <c r="P60" s="7">
        <f>K60/$Q$1</f>
        <v>20.716949152542373</v>
      </c>
      <c r="Q60" s="7">
        <f>L60/$Q$1</f>
        <v>0</v>
      </c>
    </row>
    <row r="61" spans="1:21" s="5" customFormat="1">
      <c r="B61" s="2"/>
      <c r="C61" s="14"/>
      <c r="D61" s="14"/>
      <c r="E61" s="14"/>
      <c r="F61" s="14"/>
      <c r="G61" s="14"/>
      <c r="H61" s="7"/>
      <c r="I61" s="7"/>
      <c r="J61" s="7"/>
      <c r="K61" s="7"/>
      <c r="L61" s="7"/>
      <c r="M61" s="7"/>
      <c r="N61" s="7"/>
      <c r="O61" s="7"/>
    </row>
    <row r="62" spans="1:21" s="5" customFormat="1">
      <c r="B62" s="2"/>
      <c r="C62" s="14"/>
      <c r="D62" s="14"/>
      <c r="E62" s="14"/>
      <c r="F62" s="14"/>
      <c r="G62" s="14"/>
      <c r="H62" s="7"/>
      <c r="I62" s="7"/>
      <c r="J62" s="7"/>
      <c r="K62" s="7"/>
      <c r="L62" s="20"/>
      <c r="M62" s="20"/>
      <c r="N62" s="20"/>
      <c r="O62" s="20"/>
    </row>
    <row r="63" spans="1:21" s="5" customFormat="1">
      <c r="B63" s="2"/>
      <c r="C63" s="14"/>
      <c r="D63" s="14"/>
      <c r="E63" s="14"/>
      <c r="F63" s="14"/>
      <c r="G63" s="14"/>
      <c r="H63" s="7"/>
      <c r="I63" s="7"/>
      <c r="J63" s="7"/>
      <c r="K63" s="7"/>
      <c r="L63" s="7"/>
      <c r="M63" s="7"/>
      <c r="N63" s="7"/>
      <c r="O63" s="7"/>
    </row>
    <row r="64" spans="1:21" s="5" customFormat="1">
      <c r="B64" s="2"/>
      <c r="C64" s="14"/>
      <c r="D64" s="14"/>
      <c r="E64" s="14"/>
      <c r="F64" s="14"/>
      <c r="G64" s="14"/>
      <c r="H64" s="7"/>
      <c r="I64" s="7"/>
      <c r="J64" s="7"/>
      <c r="K64" s="7"/>
      <c r="L64" s="7"/>
      <c r="M64" s="7"/>
      <c r="N64" s="7"/>
      <c r="O64" s="7"/>
    </row>
    <row r="65" spans="2:15" s="5" customFormat="1">
      <c r="B65" s="2"/>
      <c r="C65" s="14"/>
      <c r="D65" s="14"/>
      <c r="E65" s="14"/>
      <c r="F65" s="14"/>
      <c r="G65" s="14"/>
      <c r="H65" s="7"/>
      <c r="I65" s="7"/>
      <c r="J65" s="7"/>
      <c r="K65" s="7"/>
      <c r="L65" s="7"/>
      <c r="M65" s="7"/>
      <c r="N65" s="7"/>
      <c r="O65" s="7"/>
    </row>
    <row r="66" spans="2:15" s="5" customFormat="1">
      <c r="B66" s="2"/>
      <c r="C66" s="14"/>
      <c r="D66" s="14"/>
      <c r="E66" s="14"/>
      <c r="F66" s="14"/>
      <c r="G66" s="14"/>
      <c r="H66" s="7"/>
      <c r="I66" s="7"/>
      <c r="J66" s="7"/>
      <c r="K66" s="7"/>
      <c r="L66" s="7"/>
      <c r="M66" s="7"/>
      <c r="N66" s="7"/>
      <c r="O66" s="7"/>
    </row>
    <row r="67" spans="2:15" s="5" customFormat="1">
      <c r="B67" s="2"/>
      <c r="C67" s="14"/>
      <c r="D67" s="14"/>
      <c r="E67" s="14"/>
      <c r="F67" s="14"/>
      <c r="G67" s="14"/>
      <c r="H67" s="7"/>
      <c r="I67" s="7"/>
      <c r="J67" s="7"/>
      <c r="K67" s="7"/>
      <c r="L67" s="7"/>
      <c r="M67" s="7"/>
      <c r="N67" s="7"/>
      <c r="O67" s="7"/>
    </row>
    <row r="68" spans="2:15" s="5" customFormat="1">
      <c r="B68" s="2"/>
      <c r="C68" s="14"/>
      <c r="D68" s="14"/>
      <c r="E68" s="14"/>
      <c r="F68" s="14"/>
      <c r="G68" s="14"/>
      <c r="H68" s="7"/>
      <c r="I68" s="7"/>
      <c r="J68" s="7"/>
      <c r="K68" s="7"/>
      <c r="L68" s="7"/>
      <c r="M68" s="7"/>
      <c r="N68" s="7"/>
      <c r="O68" s="7"/>
    </row>
    <row r="69" spans="2:15" s="5" customFormat="1">
      <c r="B69" s="2"/>
      <c r="C69" s="14"/>
      <c r="D69" s="14"/>
      <c r="E69" s="14"/>
      <c r="F69" s="14"/>
      <c r="G69" s="14"/>
      <c r="H69" s="7"/>
      <c r="I69" s="7"/>
      <c r="J69" s="7"/>
      <c r="K69" s="7"/>
      <c r="L69" s="7"/>
      <c r="M69" s="7"/>
      <c r="N69" s="7"/>
      <c r="O69" s="7"/>
    </row>
    <row r="70" spans="2:15" s="5" customFormat="1">
      <c r="B70" s="2"/>
      <c r="C70" s="14"/>
      <c r="D70" s="14"/>
      <c r="E70" s="14"/>
      <c r="F70" s="14"/>
      <c r="G70" s="14"/>
      <c r="H70" s="7"/>
      <c r="I70" s="7"/>
      <c r="J70" s="7"/>
      <c r="K70" s="7"/>
      <c r="L70" s="7"/>
      <c r="M70" s="7"/>
      <c r="N70" s="7"/>
      <c r="O70" s="7"/>
    </row>
    <row r="71" spans="2:15" s="5" customFormat="1">
      <c r="B71" s="16"/>
      <c r="H71" s="7"/>
      <c r="I71" s="7"/>
      <c r="J71" s="7"/>
      <c r="K71" s="7"/>
      <c r="L71" s="7"/>
      <c r="M71" s="7"/>
      <c r="N71" s="7"/>
      <c r="O71" s="7"/>
    </row>
    <row r="72" spans="2:15" s="5" customFormat="1" ht="14">
      <c r="B72" s="16"/>
      <c r="H72" s="7" t="s">
        <v>41</v>
      </c>
      <c r="I72" s="7"/>
      <c r="J72" s="7"/>
      <c r="K72" s="7"/>
      <c r="L72" s="7"/>
      <c r="M72" s="7"/>
      <c r="N72" s="7"/>
      <c r="O72" s="7"/>
    </row>
  </sheetData>
  <mergeCells count="61">
    <mergeCell ref="A1:L1"/>
    <mergeCell ref="A2:A3"/>
    <mergeCell ref="B2:B3"/>
    <mergeCell ref="C2:G2"/>
    <mergeCell ref="H2:J2"/>
    <mergeCell ref="K2:L2"/>
    <mergeCell ref="A4:A16"/>
    <mergeCell ref="K4:K30"/>
    <mergeCell ref="L4:L30"/>
    <mergeCell ref="M4:M30"/>
    <mergeCell ref="N4:N30"/>
    <mergeCell ref="A17:A30"/>
    <mergeCell ref="U4:U30"/>
    <mergeCell ref="P34:P37"/>
    <mergeCell ref="Q34:Q37"/>
    <mergeCell ref="R34:R37"/>
    <mergeCell ref="M2:O2"/>
    <mergeCell ref="P2:Q2"/>
    <mergeCell ref="R2:S2"/>
    <mergeCell ref="T2:U2"/>
    <mergeCell ref="O4:O30"/>
    <mergeCell ref="P4:P30"/>
    <mergeCell ref="Q4:Q30"/>
    <mergeCell ref="R4:R30"/>
    <mergeCell ref="S4:S30"/>
    <mergeCell ref="T4:T30"/>
    <mergeCell ref="S34:S37"/>
    <mergeCell ref="T34:T37"/>
    <mergeCell ref="U34:U37"/>
    <mergeCell ref="R38:R43"/>
    <mergeCell ref="A31:B32"/>
    <mergeCell ref="K31:L31"/>
    <mergeCell ref="A34:A37"/>
    <mergeCell ref="K34:K37"/>
    <mergeCell ref="L34:L37"/>
    <mergeCell ref="P44:P50"/>
    <mergeCell ref="Q44:Q50"/>
    <mergeCell ref="S38:S43"/>
    <mergeCell ref="T38:T43"/>
    <mergeCell ref="U38:U43"/>
    <mergeCell ref="A38:A43"/>
    <mergeCell ref="K38:K43"/>
    <mergeCell ref="L38:L43"/>
    <mergeCell ref="P38:P43"/>
    <mergeCell ref="Q38:Q43"/>
    <mergeCell ref="U51:U58"/>
    <mergeCell ref="T44:T50"/>
    <mergeCell ref="U44:U50"/>
    <mergeCell ref="A51:A58"/>
    <mergeCell ref="K51:K58"/>
    <mergeCell ref="L51:L58"/>
    <mergeCell ref="P51:P58"/>
    <mergeCell ref="Q51:Q58"/>
    <mergeCell ref="R51:R58"/>
    <mergeCell ref="S51:S58"/>
    <mergeCell ref="T51:T58"/>
    <mergeCell ref="R44:R50"/>
    <mergeCell ref="S44:S50"/>
    <mergeCell ref="A44:A50"/>
    <mergeCell ref="K44:K50"/>
    <mergeCell ref="L44:L50"/>
  </mergeCells>
  <pageMargins left="0.78749999999999998" right="0.78749999999999998" top="1.05277777777778" bottom="1.05277777777778" header="0.78749999999999998" footer="0.78749999999999998"/>
  <pageSetup paperSize="9" orientation="portrait" useFirstPageNumber="1" horizontalDpi="4294967292" verticalDpi="4294967292"/>
  <headerFooter>
    <oddHeader>&amp;C&amp;"Times New Roman,Regular"&amp;12&amp;A</oddHeader>
    <oddFooter>&amp;C&amp;"Times New Roman,Regular"&amp;12Page &amp;P</oddFooter>
  </headerFooter>
  <ignoredErrors>
    <ignoredError sqref="D2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B843-74C4-B943-A225-486E8223538C}">
  <dimension ref="A1:AH71"/>
  <sheetViews>
    <sheetView topLeftCell="A2" zoomScaleNormal="100" zoomScalePageLayoutView="90" workbookViewId="0">
      <pane xSplit="33580" topLeftCell="F1"/>
      <selection activeCell="C23" sqref="C23"/>
      <selection pane="topRight" activeCell="F33" sqref="F33"/>
    </sheetView>
  </sheetViews>
  <sheetFormatPr baseColWidth="10" defaultColWidth="8.83203125" defaultRowHeight="13"/>
  <cols>
    <col min="1" max="1" width="8.83203125" style="5"/>
    <col min="2" max="2" width="87.33203125" style="16" customWidth="1"/>
    <col min="3" max="34" width="8.83203125" style="5"/>
  </cols>
  <sheetData>
    <row r="1" spans="1:34" s="5" customFormat="1" ht="13.25" customHeight="1">
      <c r="A1" s="85" t="s">
        <v>60</v>
      </c>
      <c r="B1" s="85" t="s">
        <v>0</v>
      </c>
      <c r="C1" s="85"/>
      <c r="D1" s="85"/>
      <c r="E1" s="85"/>
      <c r="F1" s="85"/>
      <c r="G1" s="85"/>
      <c r="H1" s="85"/>
      <c r="I1" s="85"/>
      <c r="J1" s="85"/>
      <c r="K1" s="85"/>
      <c r="L1" s="85"/>
      <c r="P1" s="5" t="s">
        <v>1</v>
      </c>
      <c r="Q1" s="73">
        <v>2.9</v>
      </c>
      <c r="T1" s="5" t="s">
        <v>2</v>
      </c>
      <c r="U1" s="5" t="s">
        <v>42</v>
      </c>
      <c r="W1" s="5" t="s">
        <v>3</v>
      </c>
      <c r="X1" s="5">
        <f>2.1/30</f>
        <v>7.0000000000000007E-2</v>
      </c>
      <c r="Y1" s="5" t="s">
        <v>4</v>
      </c>
      <c r="Z1" s="5">
        <f>1.8/30</f>
        <v>6.0000000000000005E-2</v>
      </c>
    </row>
    <row r="2" spans="1:34" ht="13.25" customHeight="1">
      <c r="A2" s="85"/>
      <c r="B2" s="86" t="s">
        <v>5</v>
      </c>
      <c r="C2" s="85" t="s">
        <v>6</v>
      </c>
      <c r="D2" s="85"/>
      <c r="E2" s="85"/>
      <c r="F2" s="85"/>
      <c r="G2" s="85"/>
      <c r="H2" s="85" t="s">
        <v>7</v>
      </c>
      <c r="I2" s="85"/>
      <c r="J2" s="85"/>
      <c r="K2" s="85" t="s">
        <v>8</v>
      </c>
      <c r="L2" s="85"/>
      <c r="M2" s="85" t="s">
        <v>9</v>
      </c>
      <c r="N2" s="85"/>
      <c r="O2" s="85"/>
      <c r="P2" s="85" t="s">
        <v>10</v>
      </c>
      <c r="Q2" s="85"/>
      <c r="R2" s="85" t="s">
        <v>58</v>
      </c>
      <c r="S2" s="85"/>
      <c r="T2" s="85" t="s">
        <v>57</v>
      </c>
      <c r="U2" s="85"/>
      <c r="V2"/>
      <c r="W2"/>
      <c r="X2"/>
      <c r="Y2"/>
      <c r="Z2"/>
      <c r="AA2"/>
      <c r="AB2"/>
      <c r="AC2"/>
      <c r="AD2"/>
      <c r="AE2"/>
      <c r="AF2"/>
      <c r="AG2"/>
      <c r="AH2"/>
    </row>
    <row r="3" spans="1:34" ht="56">
      <c r="A3" s="85"/>
      <c r="B3" s="86"/>
      <c r="C3" s="5" t="s">
        <v>11</v>
      </c>
      <c r="D3" s="5" t="s">
        <v>12</v>
      </c>
      <c r="E3" s="5" t="s">
        <v>13</v>
      </c>
      <c r="F3" s="5" t="s">
        <v>14</v>
      </c>
      <c r="G3" s="5" t="s">
        <v>15</v>
      </c>
      <c r="H3" s="5" t="s">
        <v>16</v>
      </c>
      <c r="I3" s="5" t="s">
        <v>17</v>
      </c>
      <c r="J3" s="5" t="s">
        <v>18</v>
      </c>
      <c r="K3" s="5" t="s">
        <v>16</v>
      </c>
      <c r="L3" s="5" t="s">
        <v>18</v>
      </c>
      <c r="M3" s="5" t="s">
        <v>19</v>
      </c>
      <c r="N3" s="5" t="s">
        <v>20</v>
      </c>
      <c r="O3" s="5" t="s">
        <v>21</v>
      </c>
      <c r="P3" s="5" t="s">
        <v>16</v>
      </c>
      <c r="Q3" s="5" t="s">
        <v>18</v>
      </c>
      <c r="R3" s="5" t="s">
        <v>16</v>
      </c>
      <c r="S3" s="5" t="s">
        <v>18</v>
      </c>
      <c r="T3" s="5" t="s">
        <v>17</v>
      </c>
      <c r="U3" s="5" t="s">
        <v>18</v>
      </c>
      <c r="V3" s="5" t="s">
        <v>22</v>
      </c>
      <c r="W3" s="5" t="s">
        <v>23</v>
      </c>
      <c r="X3" s="5" t="s">
        <v>24</v>
      </c>
      <c r="Y3" s="5" t="s">
        <v>25</v>
      </c>
      <c r="Z3" s="5" t="s">
        <v>26</v>
      </c>
      <c r="AA3" s="5" t="s">
        <v>27</v>
      </c>
      <c r="AB3" s="5" t="s">
        <v>28</v>
      </c>
      <c r="AC3" s="5" t="s">
        <v>29</v>
      </c>
      <c r="AD3" s="5" t="s">
        <v>30</v>
      </c>
      <c r="AE3" s="5" t="s">
        <v>31</v>
      </c>
      <c r="AF3" s="5" t="s">
        <v>32</v>
      </c>
      <c r="AG3" s="5" t="s">
        <v>33</v>
      </c>
      <c r="AH3" s="5" t="s">
        <v>34</v>
      </c>
    </row>
    <row r="4" spans="1:34" ht="25.25" customHeight="1">
      <c r="A4" s="85" t="s">
        <v>43</v>
      </c>
      <c r="B4" s="16" t="s">
        <v>137</v>
      </c>
      <c r="C4" s="7">
        <v>5</v>
      </c>
      <c r="D4" s="7"/>
      <c r="E4" s="7"/>
      <c r="F4" s="7"/>
      <c r="G4" s="7"/>
      <c r="H4" s="7">
        <f>IF(B4="","",C4)</f>
        <v>5</v>
      </c>
      <c r="I4" s="7">
        <f t="shared" ref="I4:I9" si="0">IF(B4="","",H4-J4)</f>
        <v>5</v>
      </c>
      <c r="J4" s="7"/>
      <c r="K4" s="87">
        <f>SUM(H4:H29)</f>
        <v>81.400000000000006</v>
      </c>
      <c r="L4" s="87">
        <f>SUM(J4:J29)</f>
        <v>26.65</v>
      </c>
      <c r="M4" s="88">
        <f>SUM(C16:C29)</f>
        <v>51.4</v>
      </c>
      <c r="N4" s="89">
        <f>SUM(D16:D29)/30</f>
        <v>6.833333333333333</v>
      </c>
      <c r="O4" s="89">
        <f>N4*(2.1+1.8)</f>
        <v>26.650000000000002</v>
      </c>
      <c r="P4" s="92">
        <f>K31/$Q$1</f>
        <v>18.879310344827587</v>
      </c>
      <c r="Q4" s="92">
        <f>L31/$Q$1</f>
        <v>0</v>
      </c>
      <c r="R4" s="87">
        <v>229.5</v>
      </c>
      <c r="S4" s="87">
        <v>56.5</v>
      </c>
      <c r="T4" s="87">
        <f>R4/$U$1</f>
        <v>76.5</v>
      </c>
      <c r="U4" s="87">
        <f>S4/$U$1</f>
        <v>18.833333333333332</v>
      </c>
      <c r="V4" s="5">
        <f t="shared" ref="V4:V8" si="1">IF(AB4="","",W4*X4*Z4)</f>
        <v>5040</v>
      </c>
      <c r="W4" s="5">
        <v>2</v>
      </c>
      <c r="X4" s="5">
        <f t="shared" ref="X4:X17" si="2">IF(B4="","",AD4*AC4+AF4*AE4+AA4+AB4)</f>
        <v>630</v>
      </c>
      <c r="Y4" s="5" t="str">
        <f>IF(OR(B4="",AG4="",AG4=0),"",AA4+AB4+AD4*AG4+AH4*(AD4+AF4))</f>
        <v/>
      </c>
      <c r="Z4" s="5">
        <v>4</v>
      </c>
      <c r="AA4" s="5">
        <v>250</v>
      </c>
      <c r="AB4" s="5">
        <v>0</v>
      </c>
      <c r="AC4" s="5">
        <v>160</v>
      </c>
      <c r="AD4" s="5">
        <v>2</v>
      </c>
      <c r="AE4" s="5">
        <v>60</v>
      </c>
      <c r="AF4" s="5">
        <v>1</v>
      </c>
      <c r="AG4"/>
      <c r="AH4"/>
    </row>
    <row r="5" spans="1:34" ht="28">
      <c r="A5" s="85"/>
      <c r="B5" s="16" t="s">
        <v>61</v>
      </c>
      <c r="C5" s="7">
        <v>2</v>
      </c>
      <c r="D5" s="7"/>
      <c r="E5" s="7"/>
      <c r="F5" s="7"/>
      <c r="G5" s="7"/>
      <c r="H5" s="7">
        <f t="shared" ref="H5:H9" si="3">IF(B5="","",C5)</f>
        <v>2</v>
      </c>
      <c r="I5" s="7">
        <f t="shared" si="0"/>
        <v>2</v>
      </c>
      <c r="J5" s="7"/>
      <c r="K5" s="87"/>
      <c r="L5" s="87"/>
      <c r="M5" s="88"/>
      <c r="N5" s="89"/>
      <c r="O5" s="89"/>
      <c r="P5" s="92"/>
      <c r="Q5" s="92"/>
      <c r="R5" s="87"/>
      <c r="S5" s="87"/>
      <c r="T5" s="87"/>
      <c r="U5" s="87"/>
      <c r="V5" s="5">
        <f t="shared" si="1"/>
        <v>1890</v>
      </c>
      <c r="W5" s="5">
        <v>1</v>
      </c>
      <c r="X5" s="5">
        <f t="shared" si="2"/>
        <v>630</v>
      </c>
      <c r="Z5" s="5">
        <v>3</v>
      </c>
      <c r="AA5" s="5">
        <v>250</v>
      </c>
      <c r="AB5" s="5">
        <v>0</v>
      </c>
      <c r="AC5" s="5">
        <v>160</v>
      </c>
      <c r="AD5" s="5">
        <v>2</v>
      </c>
      <c r="AE5" s="5">
        <v>60</v>
      </c>
      <c r="AF5" s="5">
        <v>1</v>
      </c>
      <c r="AG5"/>
      <c r="AH5"/>
    </row>
    <row r="6" spans="1:34" ht="14">
      <c r="A6" s="85"/>
      <c r="B6" s="16" t="s">
        <v>44</v>
      </c>
      <c r="C6" s="7">
        <v>3.5</v>
      </c>
      <c r="D6" s="7"/>
      <c r="E6" s="7"/>
      <c r="F6" s="7"/>
      <c r="G6" s="7"/>
      <c r="H6" s="7">
        <f t="shared" si="3"/>
        <v>3.5</v>
      </c>
      <c r="I6" s="7">
        <f t="shared" si="0"/>
        <v>3.5</v>
      </c>
      <c r="J6" s="7"/>
      <c r="K6" s="87"/>
      <c r="L6" s="87"/>
      <c r="M6" s="88"/>
      <c r="N6" s="89"/>
      <c r="O6" s="89"/>
      <c r="P6" s="92"/>
      <c r="Q6" s="92"/>
      <c r="R6" s="87"/>
      <c r="S6" s="87"/>
      <c r="T6" s="87"/>
      <c r="U6" s="87"/>
      <c r="V6" s="5">
        <f t="shared" si="1"/>
        <v>3780</v>
      </c>
      <c r="W6" s="5">
        <v>2</v>
      </c>
      <c r="X6" s="5">
        <f t="shared" si="2"/>
        <v>630</v>
      </c>
      <c r="Z6" s="5">
        <v>3</v>
      </c>
      <c r="AA6" s="5">
        <v>250</v>
      </c>
      <c r="AB6" s="5">
        <v>0</v>
      </c>
      <c r="AC6" s="5">
        <v>160</v>
      </c>
      <c r="AD6" s="5">
        <v>2</v>
      </c>
      <c r="AE6" s="5">
        <v>60</v>
      </c>
      <c r="AF6" s="5">
        <v>1</v>
      </c>
      <c r="AG6"/>
      <c r="AH6"/>
    </row>
    <row r="7" spans="1:34" ht="14">
      <c r="A7" s="85"/>
      <c r="B7" s="16" t="s">
        <v>45</v>
      </c>
      <c r="C7" s="7">
        <v>1.5</v>
      </c>
      <c r="D7" s="7"/>
      <c r="E7" s="7"/>
      <c r="F7" s="7"/>
      <c r="G7" s="7"/>
      <c r="H7" s="7">
        <f t="shared" si="3"/>
        <v>1.5</v>
      </c>
      <c r="I7" s="7">
        <f t="shared" si="0"/>
        <v>1.5</v>
      </c>
      <c r="J7" s="7"/>
      <c r="K7" s="87"/>
      <c r="L7" s="87"/>
      <c r="M7" s="88"/>
      <c r="N7" s="89"/>
      <c r="O7" s="89"/>
      <c r="P7" s="92"/>
      <c r="Q7" s="92"/>
      <c r="R7" s="87"/>
      <c r="S7" s="87"/>
      <c r="T7" s="87"/>
      <c r="U7" s="87"/>
      <c r="V7" s="5">
        <f t="shared" si="1"/>
        <v>1260</v>
      </c>
      <c r="W7" s="5">
        <v>2</v>
      </c>
      <c r="X7" s="5">
        <f t="shared" si="2"/>
        <v>630</v>
      </c>
      <c r="Z7" s="5">
        <v>1</v>
      </c>
      <c r="AA7" s="5">
        <v>250</v>
      </c>
      <c r="AB7" s="5">
        <v>0</v>
      </c>
      <c r="AC7" s="5">
        <v>160</v>
      </c>
      <c r="AD7" s="5">
        <v>2</v>
      </c>
      <c r="AE7" s="5">
        <v>60</v>
      </c>
      <c r="AF7" s="5">
        <v>1</v>
      </c>
      <c r="AG7"/>
      <c r="AH7"/>
    </row>
    <row r="8" spans="1:34" ht="14">
      <c r="A8" s="85"/>
      <c r="C8" s="7"/>
      <c r="D8" s="7"/>
      <c r="E8" s="7"/>
      <c r="F8" s="7"/>
      <c r="G8" s="7"/>
      <c r="H8" s="7" t="str">
        <f t="shared" si="3"/>
        <v/>
      </c>
      <c r="I8" s="7" t="str">
        <f t="shared" si="0"/>
        <v/>
      </c>
      <c r="J8" s="7"/>
      <c r="K8" s="87"/>
      <c r="L8" s="87"/>
      <c r="M8" s="88"/>
      <c r="N8" s="88"/>
      <c r="O8" s="88"/>
      <c r="P8" s="88"/>
      <c r="Q8" s="88"/>
      <c r="R8" s="88"/>
      <c r="S8" s="88"/>
      <c r="T8" s="88"/>
      <c r="U8" s="88"/>
      <c r="V8" s="5" t="str">
        <f t="shared" si="1"/>
        <v/>
      </c>
      <c r="W8"/>
      <c r="X8" s="5" t="str">
        <f t="shared" si="2"/>
        <v/>
      </c>
      <c r="Y8" s="5" t="str">
        <f t="shared" ref="Y8:Y17" si="4">IF(OR(B8="",AG8="",AG8=0),"",AA8+AB8+AD8*AG8+AH8*(AD8+AF8))</f>
        <v/>
      </c>
      <c r="Z8"/>
      <c r="AA8"/>
      <c r="AB8"/>
      <c r="AC8"/>
      <c r="AD8"/>
      <c r="AE8"/>
      <c r="AF8"/>
      <c r="AG8"/>
      <c r="AH8"/>
    </row>
    <row r="9" spans="1:34" ht="14">
      <c r="A9" s="85"/>
      <c r="B9" s="2"/>
      <c r="C9" s="7"/>
      <c r="D9" s="7"/>
      <c r="E9" s="7"/>
      <c r="F9" s="7"/>
      <c r="G9" s="7"/>
      <c r="H9" s="7" t="str">
        <f t="shared" si="3"/>
        <v/>
      </c>
      <c r="I9" s="7" t="str">
        <f t="shared" si="0"/>
        <v/>
      </c>
      <c r="J9" s="7"/>
      <c r="K9" s="87"/>
      <c r="L9" s="87"/>
      <c r="M9" s="88"/>
      <c r="N9" s="88"/>
      <c r="O9" s="88"/>
      <c r="P9" s="88"/>
      <c r="Q9" s="88"/>
      <c r="R9" s="88"/>
      <c r="S9" s="88"/>
      <c r="T9" s="88"/>
      <c r="U9" s="88"/>
      <c r="V9" s="5" t="str">
        <f t="shared" ref="V9:V17" si="5">IF(AB9="","",W9*Y9*Z9)</f>
        <v/>
      </c>
      <c r="X9" s="5" t="str">
        <f t="shared" si="2"/>
        <v/>
      </c>
      <c r="Y9" s="5" t="str">
        <f t="shared" si="4"/>
        <v/>
      </c>
    </row>
    <row r="10" spans="1:34" ht="14">
      <c r="A10" s="85"/>
      <c r="C10" s="7"/>
      <c r="D10" s="7"/>
      <c r="E10" s="7"/>
      <c r="F10" s="7"/>
      <c r="G10" s="7"/>
      <c r="H10" s="7"/>
      <c r="I10" s="7"/>
      <c r="J10" s="7"/>
      <c r="K10" s="87"/>
      <c r="L10" s="87"/>
      <c r="M10" s="88"/>
      <c r="N10" s="88"/>
      <c r="O10" s="88"/>
      <c r="P10" s="88"/>
      <c r="Q10" s="88"/>
      <c r="R10" s="88"/>
      <c r="S10" s="88"/>
      <c r="T10" s="88"/>
      <c r="U10" s="88"/>
      <c r="V10" s="5" t="str">
        <f t="shared" si="5"/>
        <v/>
      </c>
      <c r="W10"/>
      <c r="X10" s="5" t="str">
        <f t="shared" si="2"/>
        <v/>
      </c>
      <c r="Y10" s="5" t="str">
        <f t="shared" si="4"/>
        <v/>
      </c>
      <c r="Z10"/>
      <c r="AA10"/>
      <c r="AB10"/>
      <c r="AC10"/>
      <c r="AD10"/>
      <c r="AE10"/>
      <c r="AF10"/>
      <c r="AG10"/>
      <c r="AH10"/>
    </row>
    <row r="11" spans="1:34" ht="14">
      <c r="A11" s="85"/>
      <c r="B11" s="2" t="s">
        <v>46</v>
      </c>
      <c r="C11" s="7">
        <v>2</v>
      </c>
      <c r="D11" s="7"/>
      <c r="E11" s="7"/>
      <c r="F11" s="7"/>
      <c r="G11" s="7"/>
      <c r="H11" s="7">
        <f>IF(B11="","",C11)</f>
        <v>2</v>
      </c>
      <c r="I11" s="7">
        <f>IF(B11="","",H11-J11)</f>
        <v>2</v>
      </c>
      <c r="J11" s="7"/>
      <c r="K11" s="87"/>
      <c r="L11" s="87"/>
      <c r="M11" s="88"/>
      <c r="N11" s="88"/>
      <c r="O11" s="88"/>
      <c r="P11" s="88"/>
      <c r="Q11" s="88"/>
      <c r="R11" s="88"/>
      <c r="S11" s="88"/>
      <c r="T11" s="88"/>
      <c r="U11" s="88"/>
      <c r="V11" s="5">
        <f t="shared" si="5"/>
        <v>1920</v>
      </c>
      <c r="W11" s="5">
        <v>1</v>
      </c>
      <c r="X11" s="5">
        <f t="shared" si="2"/>
        <v>620</v>
      </c>
      <c r="Y11" s="5">
        <f t="shared" si="4"/>
        <v>640</v>
      </c>
      <c r="Z11" s="5">
        <v>3</v>
      </c>
      <c r="AA11" s="5">
        <v>400</v>
      </c>
      <c r="AB11" s="5">
        <v>0</v>
      </c>
      <c r="AC11" s="5">
        <v>150</v>
      </c>
      <c r="AD11" s="5">
        <v>1</v>
      </c>
      <c r="AE11" s="5">
        <v>70</v>
      </c>
      <c r="AF11" s="5">
        <v>1</v>
      </c>
      <c r="AG11" s="5">
        <v>100</v>
      </c>
      <c r="AH11" s="5">
        <v>70</v>
      </c>
    </row>
    <row r="12" spans="1:34" ht="28">
      <c r="A12" s="85"/>
      <c r="B12" s="8" t="s">
        <v>70</v>
      </c>
      <c r="C12" s="7">
        <v>3.5</v>
      </c>
      <c r="D12" s="7"/>
      <c r="E12" s="7"/>
      <c r="F12" s="7"/>
      <c r="G12" s="7"/>
      <c r="H12" s="7">
        <f>IF(B12="","",C12)</f>
        <v>3.5</v>
      </c>
      <c r="I12" s="7">
        <f>IF(B12="","",H12-J12)</f>
        <v>3.5</v>
      </c>
      <c r="J12" s="7"/>
      <c r="K12" s="87"/>
      <c r="L12" s="87"/>
      <c r="M12" s="88"/>
      <c r="N12" s="88"/>
      <c r="O12" s="88"/>
      <c r="P12" s="88"/>
      <c r="Q12" s="88"/>
      <c r="R12" s="88"/>
      <c r="S12" s="88"/>
      <c r="T12" s="88"/>
      <c r="U12" s="88"/>
      <c r="V12" s="5">
        <f t="shared" si="5"/>
        <v>3640</v>
      </c>
      <c r="W12" s="5">
        <v>2</v>
      </c>
      <c r="X12" s="5">
        <f t="shared" si="2"/>
        <v>1720</v>
      </c>
      <c r="Y12" s="5">
        <f t="shared" si="4"/>
        <v>1820</v>
      </c>
      <c r="Z12" s="5">
        <v>1</v>
      </c>
      <c r="AA12" s="5">
        <v>900</v>
      </c>
      <c r="AB12" s="5">
        <v>160</v>
      </c>
      <c r="AC12" s="5">
        <v>120</v>
      </c>
      <c r="AD12" s="5">
        <v>5</v>
      </c>
      <c r="AE12" s="5">
        <v>60</v>
      </c>
      <c r="AF12" s="5">
        <v>1</v>
      </c>
      <c r="AG12" s="5">
        <v>80</v>
      </c>
      <c r="AH12" s="5">
        <v>60</v>
      </c>
    </row>
    <row r="13" spans="1:34" ht="28">
      <c r="A13" s="85"/>
      <c r="B13" s="8" t="s">
        <v>63</v>
      </c>
      <c r="C13" s="7">
        <v>8.5</v>
      </c>
      <c r="D13" s="7"/>
      <c r="E13" s="7"/>
      <c r="F13" s="7"/>
      <c r="G13" s="7"/>
      <c r="H13" s="7">
        <f>IF(B13="","",C13)</f>
        <v>8.5</v>
      </c>
      <c r="I13" s="7">
        <f>IF(B13="","",H13-J13)</f>
        <v>8.5</v>
      </c>
      <c r="J13" s="7"/>
      <c r="K13" s="87"/>
      <c r="L13" s="87"/>
      <c r="M13" s="88"/>
      <c r="N13" s="88"/>
      <c r="O13" s="88"/>
      <c r="P13" s="88"/>
      <c r="Q13" s="88"/>
      <c r="R13" s="88"/>
      <c r="S13" s="88"/>
      <c r="T13" s="88"/>
      <c r="U13" s="88"/>
      <c r="V13" s="5">
        <f t="shared" si="5"/>
        <v>8400</v>
      </c>
      <c r="W13" s="5">
        <v>2</v>
      </c>
      <c r="X13" s="5">
        <f t="shared" si="2"/>
        <v>1960</v>
      </c>
      <c r="Y13" s="5">
        <f t="shared" si="4"/>
        <v>2100</v>
      </c>
      <c r="Z13" s="5">
        <v>2</v>
      </c>
      <c r="AA13" s="5">
        <v>900</v>
      </c>
      <c r="AB13" s="5">
        <v>160</v>
      </c>
      <c r="AC13" s="5">
        <v>120</v>
      </c>
      <c r="AD13" s="5">
        <v>7</v>
      </c>
      <c r="AE13" s="5">
        <v>60</v>
      </c>
      <c r="AF13" s="5">
        <v>1</v>
      </c>
      <c r="AG13" s="5">
        <v>80</v>
      </c>
      <c r="AH13" s="5">
        <v>60</v>
      </c>
    </row>
    <row r="14" spans="1:34" ht="28">
      <c r="A14" s="85"/>
      <c r="B14" s="2" t="s">
        <v>62</v>
      </c>
      <c r="C14" s="7">
        <v>4</v>
      </c>
      <c r="D14" s="7"/>
      <c r="E14" s="7"/>
      <c r="F14" s="7"/>
      <c r="G14" s="7"/>
      <c r="H14" s="7">
        <f>IF(B14="","",C14)</f>
        <v>4</v>
      </c>
      <c r="I14" s="7">
        <f>IF(B14="","",H14-J14)</f>
        <v>4</v>
      </c>
      <c r="J14" s="7"/>
      <c r="K14" s="87"/>
      <c r="L14" s="87"/>
      <c r="M14" s="88"/>
      <c r="N14" s="88"/>
      <c r="O14" s="88"/>
      <c r="P14" s="88"/>
      <c r="Q14" s="88"/>
      <c r="R14" s="88"/>
      <c r="S14" s="88"/>
      <c r="T14" s="88"/>
      <c r="U14" s="88"/>
      <c r="V14" s="5">
        <f t="shared" si="5"/>
        <v>4200</v>
      </c>
      <c r="W14" s="5">
        <v>1</v>
      </c>
      <c r="X14" s="5">
        <f t="shared" si="2"/>
        <v>1960</v>
      </c>
      <c r="Y14" s="5">
        <f t="shared" si="4"/>
        <v>2100</v>
      </c>
      <c r="Z14" s="5">
        <v>2</v>
      </c>
      <c r="AA14" s="5">
        <v>900</v>
      </c>
      <c r="AB14" s="5">
        <v>160</v>
      </c>
      <c r="AC14" s="5">
        <v>120</v>
      </c>
      <c r="AD14" s="5">
        <v>7</v>
      </c>
      <c r="AE14" s="5">
        <v>60</v>
      </c>
      <c r="AF14" s="5">
        <v>1</v>
      </c>
      <c r="AG14" s="5">
        <v>80</v>
      </c>
      <c r="AH14" s="5">
        <v>60</v>
      </c>
    </row>
    <row r="15" spans="1:34" ht="14">
      <c r="A15" s="85"/>
      <c r="B15"/>
      <c r="C15"/>
      <c r="D15"/>
      <c r="E15"/>
      <c r="F15"/>
      <c r="G15"/>
      <c r="H15" s="7" t="str">
        <f>IF(B15="","",C15)</f>
        <v/>
      </c>
      <c r="I15" s="7" t="str">
        <f>IF(B15="","",H15-J15)</f>
        <v/>
      </c>
      <c r="J15"/>
      <c r="K15" s="87"/>
      <c r="L15" s="87"/>
      <c r="M15" s="88"/>
      <c r="N15" s="88"/>
      <c r="O15" s="88"/>
      <c r="P15" s="88"/>
      <c r="Q15" s="88"/>
      <c r="R15" s="88"/>
      <c r="S15" s="88"/>
      <c r="T15" s="88"/>
      <c r="U15" s="88"/>
      <c r="V15" s="5" t="str">
        <f t="shared" si="5"/>
        <v/>
      </c>
      <c r="W15"/>
      <c r="X15" s="5" t="str">
        <f t="shared" si="2"/>
        <v/>
      </c>
      <c r="Y15" s="5" t="str">
        <f t="shared" si="4"/>
        <v/>
      </c>
      <c r="Z15"/>
      <c r="AA15"/>
      <c r="AB15"/>
      <c r="AC15"/>
      <c r="AD15"/>
      <c r="AE15"/>
      <c r="AF15"/>
      <c r="AG15"/>
      <c r="AH15"/>
    </row>
    <row r="16" spans="1:34" ht="61.75" customHeight="1">
      <c r="A16" s="85" t="s">
        <v>47</v>
      </c>
      <c r="B16" s="8" t="s">
        <v>59</v>
      </c>
      <c r="C16" s="9">
        <v>8.5</v>
      </c>
      <c r="D16" s="10">
        <f>2*8*2</f>
        <v>32</v>
      </c>
      <c r="E16" s="11">
        <f>IF(OR(D16="",D16=0),"",D16*$X$1)</f>
        <v>2.2400000000000002</v>
      </c>
      <c r="F16" s="11">
        <f>IF(OR(D16="",D16=0),"",D16*$Z$1)</f>
        <v>1.9200000000000002</v>
      </c>
      <c r="G16" s="11">
        <f>IF(OR(D16="",D16=0),"",F16+E16)</f>
        <v>4.16</v>
      </c>
      <c r="H16" s="7">
        <f>IF(C16="","",C16)</f>
        <v>8.5</v>
      </c>
      <c r="I16" s="7">
        <f>IF(C16="","",IF(J16="",H16,H16-J16))</f>
        <v>4.34</v>
      </c>
      <c r="J16" s="7">
        <f>IF(OR(D16="",D16=0),"",G16)</f>
        <v>4.16</v>
      </c>
      <c r="K16" s="87"/>
      <c r="L16" s="87"/>
      <c r="M16" s="88"/>
      <c r="N16" s="88"/>
      <c r="O16" s="88"/>
      <c r="P16" s="88"/>
      <c r="Q16" s="88"/>
      <c r="R16" s="88"/>
      <c r="S16" s="88"/>
      <c r="T16" s="88"/>
      <c r="U16" s="88"/>
      <c r="V16" s="5">
        <f t="shared" si="5"/>
        <v>8400</v>
      </c>
      <c r="W16" s="5">
        <v>2</v>
      </c>
      <c r="X16" s="5">
        <f t="shared" si="2"/>
        <v>1960</v>
      </c>
      <c r="Y16" s="5">
        <f t="shared" si="4"/>
        <v>2100</v>
      </c>
      <c r="Z16" s="5">
        <v>2</v>
      </c>
      <c r="AA16" s="5">
        <v>900</v>
      </c>
      <c r="AB16" s="5">
        <v>160</v>
      </c>
      <c r="AC16" s="5">
        <v>120</v>
      </c>
      <c r="AD16" s="5">
        <v>7</v>
      </c>
      <c r="AE16" s="5">
        <v>60</v>
      </c>
      <c r="AF16" s="5">
        <v>1</v>
      </c>
      <c r="AG16" s="5">
        <v>80</v>
      </c>
      <c r="AH16" s="5">
        <v>60</v>
      </c>
    </row>
    <row r="17" spans="1:34" ht="14">
      <c r="A17" s="85"/>
      <c r="B17" s="16" t="s">
        <v>66</v>
      </c>
      <c r="C17" s="9">
        <v>6</v>
      </c>
      <c r="D17" s="10">
        <f>1*16*2</f>
        <v>32</v>
      </c>
      <c r="E17" s="11">
        <f t="shared" ref="E17" si="6">IF(OR(D17="",D17=0),"",D17*$X$1)</f>
        <v>2.2400000000000002</v>
      </c>
      <c r="F17" s="11">
        <f t="shared" ref="F17" si="7">IF(OR(D17="",D17=0),"",D17*$Z$1)</f>
        <v>1.9200000000000002</v>
      </c>
      <c r="G17" s="11">
        <f t="shared" ref="G17" si="8">IF(OR(D17="",D17=0),"",F17+E17)</f>
        <v>4.16</v>
      </c>
      <c r="H17" s="7">
        <f t="shared" ref="H17" si="9">IF(C17="","",C17)</f>
        <v>6</v>
      </c>
      <c r="I17" s="7">
        <f t="shared" ref="I17" si="10">IF(C17="","",IF(J17="",H17,H17-J17))</f>
        <v>1.8399999999999999</v>
      </c>
      <c r="J17" s="7">
        <f t="shared" ref="J17" si="11">IF(OR(D17="",D17=0),"",G17)</f>
        <v>4.16</v>
      </c>
      <c r="K17" s="87"/>
      <c r="L17" s="87"/>
      <c r="M17" s="88"/>
      <c r="N17" s="88"/>
      <c r="O17" s="88"/>
      <c r="P17" s="88"/>
      <c r="Q17" s="88"/>
      <c r="R17" s="88"/>
      <c r="S17" s="88"/>
      <c r="T17" s="88"/>
      <c r="U17" s="88"/>
      <c r="V17" s="5">
        <f t="shared" si="5"/>
        <v>6120</v>
      </c>
      <c r="W17" s="5">
        <v>2</v>
      </c>
      <c r="X17" s="5">
        <f t="shared" si="2"/>
        <v>2760</v>
      </c>
      <c r="Y17" s="5">
        <f t="shared" si="4"/>
        <v>3060</v>
      </c>
      <c r="Z17" s="5">
        <v>1</v>
      </c>
      <c r="AA17" s="5">
        <v>900</v>
      </c>
      <c r="AB17" s="5">
        <v>0</v>
      </c>
      <c r="AC17" s="5">
        <v>120</v>
      </c>
      <c r="AD17" s="5">
        <v>15</v>
      </c>
      <c r="AE17" s="5">
        <v>60</v>
      </c>
      <c r="AF17" s="5">
        <v>1</v>
      </c>
      <c r="AG17" s="5">
        <v>80</v>
      </c>
      <c r="AH17" s="5">
        <v>60</v>
      </c>
    </row>
    <row r="18" spans="1:34" ht="14">
      <c r="A18" s="85"/>
      <c r="B18" s="2" t="s">
        <v>67</v>
      </c>
      <c r="C18" s="9">
        <v>6</v>
      </c>
      <c r="D18" s="10">
        <f>1*16*2</f>
        <v>32</v>
      </c>
      <c r="E18" s="11">
        <f>IF(OR(D18="",D18=0),"",D18*$X$1)</f>
        <v>2.2400000000000002</v>
      </c>
      <c r="F18" s="11">
        <f>IF(OR(D18="",D18=0),"",D18*$Z$1)</f>
        <v>1.9200000000000002</v>
      </c>
      <c r="G18" s="11">
        <f>IF(OR(D18="",D18=0),"",F18+E18)</f>
        <v>4.16</v>
      </c>
      <c r="H18" s="7">
        <f>IF(C18="","",C18)</f>
        <v>6</v>
      </c>
      <c r="I18" s="7">
        <f>IF(C18="","",IF(J18="",H18,H18-J18))</f>
        <v>1.8399999999999999</v>
      </c>
      <c r="J18" s="7">
        <f>IF(OR(D18="",D18=0),"",G18)</f>
        <v>4.16</v>
      </c>
      <c r="K18" s="87"/>
      <c r="L18" s="87"/>
      <c r="M18" s="88"/>
      <c r="N18" s="88"/>
      <c r="O18" s="88"/>
      <c r="P18" s="88"/>
      <c r="Q18" s="88"/>
      <c r="R18" s="88"/>
      <c r="S18" s="88"/>
      <c r="T18" s="88"/>
      <c r="U18" s="88"/>
      <c r="V18" s="5">
        <f>IF(AB18="","",W18*Y18*Z18)</f>
        <v>6120</v>
      </c>
      <c r="W18" s="5">
        <v>2</v>
      </c>
      <c r="X18" s="5">
        <f>IF(B18="","",AD18*AC18+AF18*AE18+AA18+AB18)</f>
        <v>2760</v>
      </c>
      <c r="Y18" s="5">
        <f>IF(OR(B18="",AG18="",AG18=0),"",AA18+AB18+AD18*AG18+AH18*(AD18+AF18))</f>
        <v>3060</v>
      </c>
      <c r="Z18" s="5">
        <v>1</v>
      </c>
      <c r="AA18" s="5">
        <v>900</v>
      </c>
      <c r="AB18" s="5">
        <v>0</v>
      </c>
      <c r="AC18" s="5">
        <v>120</v>
      </c>
      <c r="AD18" s="5">
        <v>15</v>
      </c>
      <c r="AE18" s="5">
        <v>60</v>
      </c>
      <c r="AF18" s="5">
        <v>1</v>
      </c>
      <c r="AG18" s="5">
        <v>80</v>
      </c>
      <c r="AH18" s="5">
        <v>60</v>
      </c>
    </row>
    <row r="19" spans="1:34" ht="14">
      <c r="A19" s="85"/>
      <c r="B19" s="2" t="s">
        <v>68</v>
      </c>
      <c r="C19" s="9">
        <v>6</v>
      </c>
      <c r="D19" s="10">
        <f>1*16*2</f>
        <v>32</v>
      </c>
      <c r="E19" s="11">
        <f>IF(OR(D19="",D19=0),"",D19*$X$1)</f>
        <v>2.2400000000000002</v>
      </c>
      <c r="F19" s="11">
        <f>IF(OR(D19="",D19=0),"",D19*$Z$1)</f>
        <v>1.9200000000000002</v>
      </c>
      <c r="G19" s="11">
        <f>IF(OR(D19="",D19=0),"",F19+E19)</f>
        <v>4.16</v>
      </c>
      <c r="H19" s="7">
        <f>IF(C19="","",C19)</f>
        <v>6</v>
      </c>
      <c r="I19" s="7">
        <f>IF(C19="","",IF(J19="",H19,H19-J19))</f>
        <v>1.8399999999999999</v>
      </c>
      <c r="J19" s="7">
        <f>IF(OR(D19="",D19=0),"",G19)</f>
        <v>4.16</v>
      </c>
      <c r="K19" s="87"/>
      <c r="L19" s="87"/>
      <c r="M19" s="88"/>
      <c r="N19" s="88"/>
      <c r="O19" s="88"/>
      <c r="P19" s="88"/>
      <c r="Q19" s="88"/>
      <c r="R19" s="88"/>
      <c r="S19" s="88"/>
      <c r="T19" s="88"/>
      <c r="U19" s="88"/>
      <c r="V19" s="5">
        <f>IF(AB19="","",W19*Y19*Z19)</f>
        <v>6120</v>
      </c>
      <c r="W19" s="5">
        <v>2</v>
      </c>
      <c r="X19" s="5">
        <f>IF(B19="","",AD19*AC19+AF19*AE19+AA19+AB19)</f>
        <v>2760</v>
      </c>
      <c r="Y19" s="5">
        <f>IF(OR(B19="",AG19="",AG19=0),"",AA19+AB19+AD19*AG19+AH19*(AD19+AF19))</f>
        <v>3060</v>
      </c>
      <c r="Z19" s="5">
        <v>1</v>
      </c>
      <c r="AA19" s="5">
        <v>900</v>
      </c>
      <c r="AB19" s="5">
        <v>0</v>
      </c>
      <c r="AC19" s="5">
        <v>120</v>
      </c>
      <c r="AD19" s="5">
        <v>15</v>
      </c>
      <c r="AE19" s="5">
        <v>60</v>
      </c>
      <c r="AF19" s="5">
        <v>1</v>
      </c>
      <c r="AG19" s="5">
        <v>80</v>
      </c>
      <c r="AH19" s="5">
        <v>60</v>
      </c>
    </row>
    <row r="20" spans="1:34">
      <c r="A20" s="85"/>
      <c r="B20" s="2"/>
      <c r="C20" s="9"/>
      <c r="D20" s="10"/>
      <c r="E20" s="11"/>
      <c r="F20" s="11"/>
      <c r="G20" s="11"/>
      <c r="H20" s="7"/>
      <c r="I20" s="7"/>
      <c r="J20" s="7"/>
      <c r="K20" s="87"/>
      <c r="L20" s="87"/>
      <c r="M20" s="88"/>
      <c r="N20" s="88"/>
      <c r="O20" s="88"/>
      <c r="P20" s="88"/>
      <c r="Q20" s="88"/>
      <c r="R20" s="88"/>
      <c r="S20" s="88"/>
      <c r="T20" s="88"/>
      <c r="U20" s="88"/>
      <c r="V20"/>
      <c r="W20"/>
      <c r="X20"/>
      <c r="Z20"/>
      <c r="AA20"/>
      <c r="AB20"/>
      <c r="AC20"/>
      <c r="AD20"/>
      <c r="AE20"/>
      <c r="AF20"/>
      <c r="AG20"/>
      <c r="AH20"/>
    </row>
    <row r="21" spans="1:34" ht="14">
      <c r="A21" s="85"/>
      <c r="B21" s="2" t="s">
        <v>49</v>
      </c>
      <c r="C21" s="9">
        <v>7</v>
      </c>
      <c r="D21" s="10">
        <f>1*11*3</f>
        <v>33</v>
      </c>
      <c r="E21" s="11">
        <f>IF(OR(D21="",D21=0),"",D21*$X$1)</f>
        <v>2.31</v>
      </c>
      <c r="F21" s="11">
        <f>IF(OR(D21="",D21=0),"",D21*$Z$1)</f>
        <v>1.9800000000000002</v>
      </c>
      <c r="G21" s="11">
        <f>IF(OR(D21="",D21=0),"",F21+E21)</f>
        <v>4.29</v>
      </c>
      <c r="H21" s="7">
        <f>IF(C21="","",C21)</f>
        <v>7</v>
      </c>
      <c r="I21" s="7">
        <f>IF(C21="","",IF(J21="",H21,H21-J21))</f>
        <v>2.71</v>
      </c>
      <c r="J21" s="7">
        <f>IF(OR(D21="",D21=0),"",G21)</f>
        <v>4.29</v>
      </c>
      <c r="K21" s="87"/>
      <c r="L21" s="87"/>
      <c r="M21" s="88"/>
      <c r="N21" s="88"/>
      <c r="O21" s="88"/>
      <c r="P21" s="88"/>
      <c r="Q21" s="88"/>
      <c r="R21" s="88"/>
      <c r="S21" s="88"/>
      <c r="T21" s="88"/>
      <c r="U21" s="88"/>
      <c r="V21" s="5">
        <f>IF(AB21="","",W21*Y21*Z21)</f>
        <v>7080</v>
      </c>
      <c r="W21" s="5">
        <v>3</v>
      </c>
      <c r="X21" s="5">
        <f>IF(B21="","",AD21*AC21+AF21*AE21+AA21+AB21)</f>
        <v>2160</v>
      </c>
      <c r="Y21" s="5">
        <f>IF(OR(B21="",AG21="",AG21=0),"",AA21+AB21+AD21*AG21+AH21*(AD21+AF21))</f>
        <v>2360</v>
      </c>
      <c r="Z21" s="5">
        <v>1</v>
      </c>
      <c r="AA21" s="5">
        <v>900</v>
      </c>
      <c r="AB21" s="5">
        <v>0</v>
      </c>
      <c r="AC21" s="5">
        <v>120</v>
      </c>
      <c r="AD21" s="5">
        <v>10</v>
      </c>
      <c r="AE21" s="5">
        <v>60</v>
      </c>
      <c r="AF21" s="5">
        <v>1</v>
      </c>
      <c r="AG21" s="5">
        <v>80</v>
      </c>
      <c r="AH21" s="5">
        <v>60</v>
      </c>
    </row>
    <row r="22" spans="1:34" ht="28">
      <c r="A22" s="85"/>
      <c r="B22" s="16" t="s">
        <v>69</v>
      </c>
      <c r="C22" s="9">
        <v>1.5</v>
      </c>
      <c r="D22" s="10">
        <f>2*6*1</f>
        <v>12</v>
      </c>
      <c r="E22" s="11">
        <f t="shared" ref="E22:E29" si="12">IF(OR(D22="",D22=0),"",D22*$X$1)</f>
        <v>0.84000000000000008</v>
      </c>
      <c r="F22" s="11">
        <f t="shared" ref="F22:F29" si="13">IF(OR(D22="",D22=0),"",D22*$Z$1)</f>
        <v>0.72000000000000008</v>
      </c>
      <c r="G22" s="11">
        <f t="shared" ref="G22:G29" si="14">IF(OR(D22="",D22=0),"",F22+E22)</f>
        <v>1.56</v>
      </c>
      <c r="H22" s="7">
        <f t="shared" ref="H22:H29" si="15">IF(C22="","",C22)</f>
        <v>1.5</v>
      </c>
      <c r="I22" s="7">
        <f t="shared" ref="I22:I29" si="16">IF(C22="","",IF(J22="",H22,H22-J22))</f>
        <v>-6.0000000000000053E-2</v>
      </c>
      <c r="J22" s="7">
        <f t="shared" ref="J22:J29" si="17">IF(OR(D22="",D22=0),"",G22)</f>
        <v>1.56</v>
      </c>
      <c r="K22" s="87"/>
      <c r="L22" s="87"/>
      <c r="M22" s="87"/>
      <c r="N22" s="87"/>
      <c r="O22" s="87"/>
      <c r="P22" s="87"/>
      <c r="Q22" s="87"/>
      <c r="R22" s="87"/>
      <c r="S22" s="87"/>
      <c r="T22" s="87"/>
      <c r="U22" s="87"/>
      <c r="V22" s="5">
        <f t="shared" ref="V22:V29" si="18">IF(AB22="","",W22*Y22*Z22)</f>
        <v>1660</v>
      </c>
      <c r="W22" s="5">
        <v>1</v>
      </c>
      <c r="X22" s="5">
        <f t="shared" ref="X22:X29" si="19">IF(B22="","",AD22*AC22+AF22*AE22+AA22+AB22)</f>
        <v>1560</v>
      </c>
      <c r="Y22" s="5">
        <f t="shared" ref="Y22:Y29" si="20">IF(OR(B22="",AG22="",AG22=0),"",AA22+AB22+AD22*AG22+AH22*(AD22+AF22))</f>
        <v>1660</v>
      </c>
      <c r="Z22" s="5">
        <v>1</v>
      </c>
      <c r="AA22" s="5">
        <v>900</v>
      </c>
      <c r="AB22" s="5">
        <v>0</v>
      </c>
      <c r="AC22" s="5">
        <v>120</v>
      </c>
      <c r="AD22" s="5">
        <v>5</v>
      </c>
      <c r="AE22" s="5">
        <v>60</v>
      </c>
      <c r="AF22" s="5">
        <v>1</v>
      </c>
      <c r="AG22" s="5">
        <v>80</v>
      </c>
      <c r="AH22" s="5">
        <v>60</v>
      </c>
    </row>
    <row r="23" spans="1:34" ht="42">
      <c r="A23" s="85"/>
      <c r="B23" s="2" t="s">
        <v>48</v>
      </c>
      <c r="C23" s="9">
        <v>8.4</v>
      </c>
      <c r="D23" s="10">
        <f>2*8*2</f>
        <v>32</v>
      </c>
      <c r="E23" s="11">
        <f t="shared" si="12"/>
        <v>2.2400000000000002</v>
      </c>
      <c r="F23" s="11">
        <f t="shared" si="13"/>
        <v>1.9200000000000002</v>
      </c>
      <c r="G23" s="11">
        <f t="shared" si="14"/>
        <v>4.16</v>
      </c>
      <c r="H23" s="7">
        <f t="shared" si="15"/>
        <v>8.4</v>
      </c>
      <c r="I23" s="7">
        <f t="shared" si="16"/>
        <v>4.24</v>
      </c>
      <c r="J23" s="7">
        <f t="shared" si="17"/>
        <v>4.16</v>
      </c>
      <c r="K23" s="87"/>
      <c r="L23" s="87"/>
      <c r="M23" s="88"/>
      <c r="N23" s="88"/>
      <c r="O23" s="88"/>
      <c r="P23" s="88"/>
      <c r="Q23" s="88"/>
      <c r="R23" s="88"/>
      <c r="S23" s="88"/>
      <c r="T23" s="88"/>
      <c r="U23" s="88"/>
      <c r="V23" s="5">
        <f t="shared" si="18"/>
        <v>8400</v>
      </c>
      <c r="W23" s="5">
        <v>2</v>
      </c>
      <c r="X23" s="5">
        <f t="shared" si="19"/>
        <v>1960</v>
      </c>
      <c r="Y23" s="5">
        <f t="shared" si="20"/>
        <v>2100</v>
      </c>
      <c r="Z23" s="5">
        <v>2</v>
      </c>
      <c r="AA23" s="5">
        <v>900</v>
      </c>
      <c r="AB23" s="5">
        <v>160</v>
      </c>
      <c r="AC23" s="5">
        <v>120</v>
      </c>
      <c r="AD23" s="5">
        <v>7</v>
      </c>
      <c r="AE23" s="5">
        <v>60</v>
      </c>
      <c r="AF23" s="5">
        <v>1</v>
      </c>
      <c r="AG23" s="5">
        <v>80</v>
      </c>
      <c r="AH23" s="5">
        <v>60</v>
      </c>
    </row>
    <row r="24" spans="1:34" ht="14">
      <c r="A24" s="85"/>
      <c r="B24" s="2"/>
      <c r="C24" s="9"/>
      <c r="D24" s="10"/>
      <c r="E24" s="11" t="str">
        <f t="shared" si="12"/>
        <v/>
      </c>
      <c r="F24" s="11" t="str">
        <f t="shared" si="13"/>
        <v/>
      </c>
      <c r="G24" s="11" t="str">
        <f t="shared" si="14"/>
        <v/>
      </c>
      <c r="H24" s="7" t="str">
        <f t="shared" si="15"/>
        <v/>
      </c>
      <c r="I24" s="7" t="str">
        <f t="shared" si="16"/>
        <v/>
      </c>
      <c r="J24" s="7" t="str">
        <f t="shared" si="17"/>
        <v/>
      </c>
      <c r="K24" s="87"/>
      <c r="L24" s="87"/>
      <c r="M24" s="88"/>
      <c r="N24" s="88"/>
      <c r="O24" s="88"/>
      <c r="P24" s="88"/>
      <c r="Q24" s="88"/>
      <c r="R24" s="88"/>
      <c r="S24" s="88"/>
      <c r="T24" s="88"/>
      <c r="U24" s="88"/>
      <c r="V24" s="5" t="str">
        <f t="shared" si="18"/>
        <v/>
      </c>
      <c r="X24" s="5" t="str">
        <f t="shared" si="19"/>
        <v/>
      </c>
      <c r="Y24" s="5" t="str">
        <f t="shared" si="20"/>
        <v/>
      </c>
    </row>
    <row r="25" spans="1:34" ht="14">
      <c r="A25" s="85"/>
      <c r="C25" s="9"/>
      <c r="D25" s="10"/>
      <c r="E25" s="11" t="str">
        <f t="shared" si="12"/>
        <v/>
      </c>
      <c r="F25" s="11" t="str">
        <f t="shared" si="13"/>
        <v/>
      </c>
      <c r="G25" s="11" t="str">
        <f t="shared" si="14"/>
        <v/>
      </c>
      <c r="H25" s="7" t="str">
        <f t="shared" si="15"/>
        <v/>
      </c>
      <c r="I25" s="7" t="str">
        <f t="shared" si="16"/>
        <v/>
      </c>
      <c r="J25" s="7" t="str">
        <f t="shared" si="17"/>
        <v/>
      </c>
      <c r="K25" s="87"/>
      <c r="L25" s="87"/>
      <c r="M25" s="88"/>
      <c r="N25" s="88"/>
      <c r="O25" s="88"/>
      <c r="P25" s="88"/>
      <c r="Q25" s="88"/>
      <c r="R25" s="88"/>
      <c r="S25" s="88"/>
      <c r="T25" s="88"/>
      <c r="U25" s="88"/>
      <c r="V25" s="5" t="str">
        <f t="shared" si="18"/>
        <v/>
      </c>
      <c r="X25" s="5" t="str">
        <f t="shared" si="19"/>
        <v/>
      </c>
      <c r="Y25" s="5" t="str">
        <f t="shared" si="20"/>
        <v/>
      </c>
    </row>
    <row r="26" spans="1:34" ht="14">
      <c r="A26" s="85"/>
      <c r="B26" t="s">
        <v>35</v>
      </c>
      <c r="C26" s="9">
        <v>8</v>
      </c>
      <c r="D26" s="10"/>
      <c r="E26" s="11" t="str">
        <f t="shared" si="12"/>
        <v/>
      </c>
      <c r="F26" s="11" t="str">
        <f t="shared" si="13"/>
        <v/>
      </c>
      <c r="G26" s="11" t="str">
        <f t="shared" si="14"/>
        <v/>
      </c>
      <c r="H26" s="7">
        <f t="shared" si="15"/>
        <v>8</v>
      </c>
      <c r="I26" s="7">
        <f t="shared" si="16"/>
        <v>8</v>
      </c>
      <c r="J26" s="7" t="str">
        <f t="shared" si="17"/>
        <v/>
      </c>
      <c r="K26" s="87"/>
      <c r="L26" s="87"/>
      <c r="M26" s="88"/>
      <c r="N26" s="88"/>
      <c r="O26" s="88"/>
      <c r="P26" s="88"/>
      <c r="Q26" s="88"/>
      <c r="R26" s="88"/>
      <c r="S26" s="88"/>
      <c r="T26" s="88"/>
      <c r="U26" s="88"/>
      <c r="V26" s="5" t="str">
        <f t="shared" si="18"/>
        <v/>
      </c>
      <c r="X26" s="5">
        <f t="shared" si="19"/>
        <v>0</v>
      </c>
      <c r="Y26" s="5" t="str">
        <f t="shared" si="20"/>
        <v/>
      </c>
    </row>
    <row r="27" spans="1:34" ht="14">
      <c r="A27" s="85"/>
      <c r="B27" s="2"/>
      <c r="C27" s="9"/>
      <c r="D27" s="10"/>
      <c r="E27" s="11" t="str">
        <f t="shared" si="12"/>
        <v/>
      </c>
      <c r="F27" s="11" t="str">
        <f t="shared" si="13"/>
        <v/>
      </c>
      <c r="G27" s="11" t="str">
        <f t="shared" si="14"/>
        <v/>
      </c>
      <c r="H27" s="7" t="str">
        <f t="shared" si="15"/>
        <v/>
      </c>
      <c r="I27" s="7" t="str">
        <f t="shared" si="16"/>
        <v/>
      </c>
      <c r="J27" s="7" t="str">
        <f t="shared" si="17"/>
        <v/>
      </c>
      <c r="K27" s="87"/>
      <c r="L27" s="87"/>
      <c r="M27" s="88"/>
      <c r="N27" s="88"/>
      <c r="O27" s="88"/>
      <c r="P27" s="88"/>
      <c r="Q27" s="88"/>
      <c r="R27" s="88"/>
      <c r="S27" s="88"/>
      <c r="T27" s="88"/>
      <c r="U27" s="88"/>
      <c r="V27" s="5" t="str">
        <f t="shared" si="18"/>
        <v/>
      </c>
      <c r="X27" s="5" t="str">
        <f t="shared" si="19"/>
        <v/>
      </c>
      <c r="Y27" s="5" t="str">
        <f t="shared" si="20"/>
        <v/>
      </c>
    </row>
    <row r="28" spans="1:34" ht="14">
      <c r="A28" s="85"/>
      <c r="B28"/>
      <c r="C28" s="9"/>
      <c r="D28" s="10"/>
      <c r="E28" s="11" t="str">
        <f t="shared" si="12"/>
        <v/>
      </c>
      <c r="F28" s="11" t="str">
        <f t="shared" si="13"/>
        <v/>
      </c>
      <c r="G28" s="11" t="str">
        <f t="shared" si="14"/>
        <v/>
      </c>
      <c r="H28" s="7" t="str">
        <f t="shared" si="15"/>
        <v/>
      </c>
      <c r="I28" s="7" t="str">
        <f t="shared" si="16"/>
        <v/>
      </c>
      <c r="J28" s="7" t="str">
        <f t="shared" si="17"/>
        <v/>
      </c>
      <c r="K28" s="87"/>
      <c r="L28" s="87"/>
      <c r="M28" s="87"/>
      <c r="N28" s="87"/>
      <c r="O28" s="87"/>
      <c r="P28" s="87"/>
      <c r="Q28" s="87"/>
      <c r="R28" s="87"/>
      <c r="S28" s="87"/>
      <c r="T28" s="87"/>
      <c r="U28" s="87"/>
      <c r="V28" s="5" t="str">
        <f t="shared" si="18"/>
        <v/>
      </c>
      <c r="X28" s="5" t="str">
        <f t="shared" si="19"/>
        <v/>
      </c>
      <c r="Y28" s="5" t="str">
        <f t="shared" si="20"/>
        <v/>
      </c>
    </row>
    <row r="29" spans="1:34" ht="14">
      <c r="A29" s="85"/>
      <c r="B29"/>
      <c r="C29" s="9"/>
      <c r="D29" s="10"/>
      <c r="E29" s="11" t="str">
        <f t="shared" si="12"/>
        <v/>
      </c>
      <c r="F29" s="11" t="str">
        <f t="shared" si="13"/>
        <v/>
      </c>
      <c r="G29" s="11" t="str">
        <f t="shared" si="14"/>
        <v/>
      </c>
      <c r="H29" s="7" t="str">
        <f t="shared" si="15"/>
        <v/>
      </c>
      <c r="I29" s="7" t="str">
        <f t="shared" si="16"/>
        <v/>
      </c>
      <c r="J29" s="7" t="str">
        <f t="shared" si="17"/>
        <v/>
      </c>
      <c r="K29" s="87"/>
      <c r="L29" s="87"/>
      <c r="M29" s="87"/>
      <c r="N29" s="87"/>
      <c r="O29" s="87"/>
      <c r="P29" s="87"/>
      <c r="Q29" s="87"/>
      <c r="R29" s="87"/>
      <c r="S29" s="87"/>
      <c r="T29" s="87"/>
      <c r="U29" s="87"/>
      <c r="V29" s="5" t="str">
        <f t="shared" si="18"/>
        <v/>
      </c>
      <c r="X29" s="5" t="str">
        <f t="shared" si="19"/>
        <v/>
      </c>
      <c r="Y29" s="5" t="str">
        <f t="shared" si="20"/>
        <v/>
      </c>
    </row>
    <row r="30" spans="1:34" ht="37" customHeight="1">
      <c r="A30" s="85"/>
      <c r="B30" s="85"/>
      <c r="C30"/>
      <c r="D30"/>
      <c r="E30"/>
      <c r="F30"/>
      <c r="G30"/>
      <c r="H30"/>
      <c r="I30"/>
      <c r="J30"/>
      <c r="K30" s="91" t="s">
        <v>50</v>
      </c>
      <c r="L30" s="91"/>
      <c r="M30" s="74" t="s">
        <v>51</v>
      </c>
      <c r="N30" s="74" t="s">
        <v>52</v>
      </c>
      <c r="O30" s="74" t="s">
        <v>53</v>
      </c>
      <c r="P30"/>
      <c r="Q30"/>
      <c r="R30"/>
      <c r="S30"/>
      <c r="T30"/>
      <c r="U30"/>
    </row>
    <row r="31" spans="1:34" ht="14">
      <c r="A31" s="85"/>
      <c r="B31" s="85"/>
      <c r="C31" s="11"/>
      <c r="D31" s="12"/>
      <c r="E31" s="11"/>
      <c r="F31" s="11"/>
      <c r="G31" s="11"/>
      <c r="H31" s="7" t="s">
        <v>17</v>
      </c>
      <c r="I31" s="7"/>
      <c r="J31" s="5" t="s">
        <v>36</v>
      </c>
      <c r="K31" s="75">
        <f>K4-O4</f>
        <v>54.75</v>
      </c>
      <c r="L31" s="75">
        <f>L4-O4</f>
        <v>0</v>
      </c>
      <c r="M31" s="75">
        <f>O4</f>
        <v>26.650000000000002</v>
      </c>
      <c r="N31" s="75">
        <f>N4*2.1</f>
        <v>14.35</v>
      </c>
      <c r="O31" s="75">
        <f>N4*1.8</f>
        <v>12.299999999999999</v>
      </c>
      <c r="P31" s="7"/>
      <c r="Q31" s="7"/>
      <c r="R31" s="7"/>
      <c r="S31" s="7"/>
      <c r="T31" s="7"/>
      <c r="U31" s="7"/>
    </row>
    <row r="32" spans="1:34" ht="14">
      <c r="A32" s="5" t="s">
        <v>37</v>
      </c>
      <c r="B32" s="2"/>
      <c r="C32" s="14"/>
      <c r="D32" s="14"/>
      <c r="E32" s="14"/>
      <c r="F32" s="14"/>
      <c r="G32" s="14"/>
      <c r="H32" s="7"/>
      <c r="I32" s="7"/>
      <c r="J32" s="7"/>
      <c r="K32" s="7">
        <f>SUM(H32:H32)</f>
        <v>0</v>
      </c>
      <c r="L32" s="7">
        <f>SUM(J32:J32)</f>
        <v>0</v>
      </c>
      <c r="M32" s="7"/>
      <c r="N32" s="7"/>
      <c r="O32" s="7"/>
      <c r="P32" s="7">
        <f>K32/$Q$1</f>
        <v>0</v>
      </c>
      <c r="Q32" s="7">
        <f>L32/$Q$1</f>
        <v>0</v>
      </c>
      <c r="R32" s="15">
        <v>0</v>
      </c>
      <c r="S32" s="15">
        <v>0</v>
      </c>
      <c r="T32" s="7">
        <f>R32/$U$1</f>
        <v>0</v>
      </c>
      <c r="U32" s="7">
        <f>S32/$U$1</f>
        <v>0</v>
      </c>
    </row>
    <row r="33" spans="1:21" ht="12.75" customHeight="1">
      <c r="A33" s="85" t="s">
        <v>54</v>
      </c>
      <c r="B33"/>
      <c r="C33" s="14"/>
      <c r="D33" s="14"/>
      <c r="E33" s="14"/>
      <c r="F33" s="14"/>
      <c r="G33" s="14"/>
      <c r="H33" s="7"/>
      <c r="I33" s="7"/>
      <c r="J33" s="7"/>
      <c r="K33" s="90">
        <f>SUM(H33:H36)</f>
        <v>1.5</v>
      </c>
      <c r="L33" s="90">
        <f>SUM(J33:J36)</f>
        <v>0</v>
      </c>
      <c r="M33" s="7"/>
      <c r="N33" s="7"/>
      <c r="O33" s="7"/>
      <c r="P33" s="90">
        <f>K33/$Q$1</f>
        <v>0.51724137931034486</v>
      </c>
      <c r="Q33" s="90">
        <f>L33/$Q$1</f>
        <v>0</v>
      </c>
      <c r="R33" s="93">
        <v>0</v>
      </c>
      <c r="S33" s="93">
        <v>0</v>
      </c>
      <c r="T33" s="90">
        <f>R33/$U$1</f>
        <v>0</v>
      </c>
      <c r="U33" s="90">
        <f>S33/$U$1</f>
        <v>0</v>
      </c>
    </row>
    <row r="34" spans="1:21">
      <c r="A34" s="85"/>
      <c r="B34" t="s">
        <v>64</v>
      </c>
      <c r="C34" s="14"/>
      <c r="D34" s="14"/>
      <c r="E34" s="14"/>
      <c r="F34" s="14"/>
      <c r="G34" s="14"/>
      <c r="H34" s="7">
        <v>1.5</v>
      </c>
      <c r="I34" s="7"/>
      <c r="J34"/>
      <c r="K34" s="90"/>
      <c r="L34" s="90"/>
      <c r="M34" s="7"/>
      <c r="N34" s="7"/>
      <c r="O34" s="7"/>
      <c r="P34" s="90"/>
      <c r="Q34" s="90"/>
      <c r="R34" s="93"/>
      <c r="S34" s="93"/>
      <c r="T34" s="90"/>
      <c r="U34" s="90"/>
    </row>
    <row r="35" spans="1:21">
      <c r="A35" s="85"/>
      <c r="H35" s="7"/>
      <c r="I35" s="7"/>
      <c r="J35" s="7"/>
      <c r="K35" s="90"/>
      <c r="L35" s="90"/>
      <c r="M35" s="7"/>
      <c r="N35" s="7"/>
      <c r="O35" s="7"/>
      <c r="P35" s="90"/>
      <c r="Q35" s="90"/>
      <c r="R35" s="93"/>
      <c r="S35" s="93"/>
      <c r="T35" s="90"/>
      <c r="U35" s="90"/>
    </row>
    <row r="36" spans="1:21">
      <c r="A36" s="85"/>
      <c r="B36" s="2"/>
      <c r="C36" s="14"/>
      <c r="D36" s="14"/>
      <c r="E36" s="14"/>
      <c r="F36" s="14"/>
      <c r="G36" s="14"/>
      <c r="H36" s="7"/>
      <c r="I36" s="7"/>
      <c r="J36" s="7"/>
      <c r="K36" s="90"/>
      <c r="L36" s="90"/>
      <c r="M36" s="7"/>
      <c r="N36" s="7"/>
      <c r="O36" s="7"/>
      <c r="P36" s="90"/>
      <c r="Q36" s="90"/>
      <c r="R36" s="93"/>
      <c r="S36" s="93"/>
      <c r="T36" s="90"/>
      <c r="U36" s="90"/>
    </row>
    <row r="37" spans="1:21">
      <c r="A37" s="85" t="s">
        <v>38</v>
      </c>
      <c r="B37"/>
      <c r="C37"/>
      <c r="D37"/>
      <c r="E37"/>
      <c r="F37"/>
      <c r="G37"/>
      <c r="H37" s="7"/>
      <c r="I37" s="7"/>
      <c r="J37"/>
      <c r="K37" s="90">
        <f>SUM(H37:H42)</f>
        <v>4.5</v>
      </c>
      <c r="L37" s="90"/>
      <c r="M37" s="7"/>
      <c r="N37" s="7"/>
      <c r="O37" s="7"/>
      <c r="P37" s="90"/>
      <c r="Q37" s="90"/>
      <c r="R37" s="93"/>
      <c r="S37" s="93"/>
      <c r="T37" s="90"/>
      <c r="U37" s="90"/>
    </row>
    <row r="38" spans="1:21">
      <c r="A38" s="85"/>
      <c r="C38"/>
      <c r="D38"/>
      <c r="E38"/>
      <c r="F38"/>
      <c r="G38"/>
      <c r="H38" s="7"/>
      <c r="I38" s="7"/>
      <c r="J38"/>
      <c r="K38" s="90"/>
      <c r="L38" s="90"/>
      <c r="M38" s="7"/>
      <c r="N38" s="7"/>
      <c r="O38" s="7"/>
      <c r="P38" s="90"/>
      <c r="Q38" s="90"/>
      <c r="R38" s="93"/>
      <c r="S38" s="93"/>
      <c r="T38" s="90"/>
      <c r="U38" s="90"/>
    </row>
    <row r="39" spans="1:21">
      <c r="A39" s="85"/>
      <c r="C39"/>
      <c r="D39"/>
      <c r="E39"/>
      <c r="F39"/>
      <c r="G39"/>
      <c r="H39" s="7"/>
      <c r="I39" s="7"/>
      <c r="J39"/>
      <c r="K39" s="90"/>
      <c r="L39" s="90"/>
      <c r="M39" s="7"/>
      <c r="N39" s="7"/>
      <c r="O39" s="7"/>
      <c r="P39" s="90"/>
      <c r="Q39" s="90"/>
      <c r="R39" s="93"/>
      <c r="S39" s="93"/>
      <c r="T39" s="90"/>
      <c r="U39" s="90"/>
    </row>
    <row r="40" spans="1:21">
      <c r="A40" s="85"/>
      <c r="B40" t="s">
        <v>65</v>
      </c>
      <c r="C40"/>
      <c r="D40"/>
      <c r="E40"/>
      <c r="F40"/>
      <c r="G40"/>
      <c r="H40" s="7">
        <v>4.5</v>
      </c>
      <c r="I40" s="7"/>
      <c r="J40"/>
      <c r="K40" s="90"/>
      <c r="L40" s="90"/>
      <c r="M40" s="7"/>
      <c r="N40" s="7"/>
      <c r="O40" s="7"/>
      <c r="P40" s="90"/>
      <c r="Q40" s="90"/>
      <c r="R40" s="93"/>
      <c r="S40" s="93"/>
      <c r="T40" s="90"/>
      <c r="U40" s="90"/>
    </row>
    <row r="41" spans="1:21">
      <c r="A41" s="85"/>
      <c r="C41"/>
      <c r="D41"/>
      <c r="E41"/>
      <c r="F41"/>
      <c r="G41"/>
      <c r="H41" s="7"/>
      <c r="I41"/>
      <c r="J41"/>
      <c r="K41" s="90"/>
      <c r="L41" s="90"/>
      <c r="M41" s="7"/>
      <c r="N41" s="7"/>
      <c r="O41" s="7"/>
      <c r="P41" s="90"/>
      <c r="Q41" s="90"/>
      <c r="R41" s="93"/>
      <c r="S41" s="93"/>
      <c r="T41" s="90"/>
      <c r="U41" s="90"/>
    </row>
    <row r="42" spans="1:21">
      <c r="A42" s="85"/>
      <c r="B42" s="2"/>
      <c r="C42" s="14"/>
      <c r="D42" s="14"/>
      <c r="E42" s="14"/>
      <c r="F42" s="14"/>
      <c r="G42" s="14"/>
      <c r="H42" s="7"/>
      <c r="I42" s="7"/>
      <c r="J42" s="7"/>
      <c r="K42" s="90"/>
      <c r="L42" s="90"/>
      <c r="M42" s="7"/>
      <c r="N42" s="7"/>
      <c r="O42" s="7"/>
      <c r="P42" s="90"/>
      <c r="Q42" s="90"/>
      <c r="R42" s="93"/>
      <c r="S42" s="93"/>
      <c r="T42" s="90"/>
      <c r="U42" s="90"/>
    </row>
    <row r="43" spans="1:21" ht="12.75" customHeight="1">
      <c r="A43" s="85" t="s">
        <v>39</v>
      </c>
      <c r="B43" s="2"/>
      <c r="C43" s="14"/>
      <c r="D43" s="14"/>
      <c r="E43" s="14"/>
      <c r="F43" s="14"/>
      <c r="G43" s="14"/>
      <c r="H43" s="7"/>
      <c r="I43" s="7"/>
      <c r="J43" s="7"/>
      <c r="K43" s="90">
        <f>SUM(H43:H49)</f>
        <v>0</v>
      </c>
      <c r="L43" s="90">
        <f>SUM(I43:I49)</f>
        <v>0</v>
      </c>
      <c r="M43" s="7"/>
      <c r="N43" s="7"/>
      <c r="O43" s="7"/>
      <c r="P43" s="90">
        <f>K43/$Q$1</f>
        <v>0</v>
      </c>
      <c r="Q43" s="90">
        <f>L43/$Q$1</f>
        <v>0</v>
      </c>
      <c r="R43" s="93">
        <v>0</v>
      </c>
      <c r="S43" s="93">
        <v>0</v>
      </c>
      <c r="T43" s="90">
        <f>R43/$U$1</f>
        <v>0</v>
      </c>
      <c r="U43" s="90">
        <f>S43/$U$1</f>
        <v>0</v>
      </c>
    </row>
    <row r="44" spans="1:21">
      <c r="A44" s="85"/>
      <c r="B44" s="2"/>
      <c r="C44" s="14"/>
      <c r="D44" s="14"/>
      <c r="E44" s="14"/>
      <c r="F44" s="14"/>
      <c r="G44" s="14"/>
      <c r="H44" s="7"/>
      <c r="I44" s="7"/>
      <c r="J44" s="7"/>
      <c r="K44" s="90"/>
      <c r="L44" s="90"/>
      <c r="M44" s="7"/>
      <c r="N44" s="7"/>
      <c r="O44" s="7"/>
      <c r="P44" s="90"/>
      <c r="Q44" s="90"/>
      <c r="R44" s="93"/>
      <c r="S44" s="93"/>
      <c r="T44" s="90"/>
      <c r="U44" s="90"/>
    </row>
    <row r="45" spans="1:21">
      <c r="A45" s="85"/>
      <c r="B45" s="2"/>
      <c r="C45" s="14"/>
      <c r="D45" s="14"/>
      <c r="E45" s="14"/>
      <c r="F45" s="14"/>
      <c r="G45" s="14"/>
      <c r="H45" s="7"/>
      <c r="I45" s="7"/>
      <c r="J45" s="7"/>
      <c r="K45" s="90"/>
      <c r="L45" s="90"/>
      <c r="M45" s="7"/>
      <c r="N45" s="7"/>
      <c r="O45" s="7"/>
      <c r="P45" s="90"/>
      <c r="Q45" s="90"/>
      <c r="R45" s="93"/>
      <c r="S45" s="93"/>
      <c r="T45" s="90"/>
      <c r="U45" s="90"/>
    </row>
    <row r="46" spans="1:21">
      <c r="A46" s="85"/>
      <c r="B46" s="2"/>
      <c r="C46" s="14"/>
      <c r="D46" s="14"/>
      <c r="E46" s="14"/>
      <c r="F46" s="14"/>
      <c r="G46" s="14"/>
      <c r="H46" s="7"/>
      <c r="I46" s="7"/>
      <c r="J46" s="7"/>
      <c r="K46" s="90"/>
      <c r="L46" s="90"/>
      <c r="M46" s="7"/>
      <c r="N46" s="7"/>
      <c r="O46" s="7"/>
      <c r="P46" s="90"/>
      <c r="Q46" s="90"/>
      <c r="R46" s="93"/>
      <c r="S46" s="93"/>
      <c r="T46" s="90"/>
      <c r="U46" s="90"/>
    </row>
    <row r="47" spans="1:21">
      <c r="A47" s="85"/>
      <c r="B47" s="2"/>
      <c r="C47" s="14"/>
      <c r="D47" s="14"/>
      <c r="E47" s="14"/>
      <c r="F47" s="14"/>
      <c r="G47" s="14"/>
      <c r="H47" s="7"/>
      <c r="I47" s="7"/>
      <c r="J47" s="7"/>
      <c r="K47" s="90"/>
      <c r="L47" s="90"/>
      <c r="M47" s="7"/>
      <c r="N47" s="7"/>
      <c r="O47" s="7"/>
      <c r="P47" s="90"/>
      <c r="Q47" s="90"/>
      <c r="R47" s="93"/>
      <c r="S47" s="93"/>
      <c r="T47" s="90"/>
      <c r="U47" s="90"/>
    </row>
    <row r="48" spans="1:21">
      <c r="A48" s="85"/>
      <c r="B48" s="2"/>
      <c r="C48" s="14"/>
      <c r="D48" s="14"/>
      <c r="E48" s="14"/>
      <c r="F48" s="14"/>
      <c r="G48" s="14"/>
      <c r="H48" s="7"/>
      <c r="I48" s="7"/>
      <c r="J48" s="7"/>
      <c r="K48" s="90"/>
      <c r="L48" s="90"/>
      <c r="M48" s="7"/>
      <c r="N48" s="7"/>
      <c r="O48" s="7"/>
      <c r="P48" s="90"/>
      <c r="Q48" s="90"/>
      <c r="R48" s="93"/>
      <c r="S48" s="93"/>
      <c r="T48" s="90"/>
      <c r="U48" s="90"/>
    </row>
    <row r="49" spans="1:21">
      <c r="A49" s="85"/>
      <c r="B49" s="2"/>
      <c r="C49" s="14"/>
      <c r="D49" s="14"/>
      <c r="E49" s="14"/>
      <c r="F49" s="14"/>
      <c r="G49" s="14"/>
      <c r="H49" s="7"/>
      <c r="I49" s="7"/>
      <c r="J49" s="7"/>
      <c r="K49" s="90"/>
      <c r="L49" s="90"/>
      <c r="M49" s="7"/>
      <c r="N49" s="7"/>
      <c r="O49" s="7"/>
      <c r="P49" s="90"/>
      <c r="Q49" s="90"/>
      <c r="R49" s="93"/>
      <c r="S49" s="93"/>
      <c r="T49" s="90"/>
      <c r="U49" s="90"/>
    </row>
    <row r="50" spans="1:21" ht="12.75" customHeight="1">
      <c r="A50" s="85" t="s">
        <v>40</v>
      </c>
      <c r="B50"/>
      <c r="C50" s="14"/>
      <c r="D50" s="14"/>
      <c r="E50" s="14"/>
      <c r="F50" s="14"/>
      <c r="G50" s="14"/>
      <c r="H50" s="7"/>
      <c r="I50" s="7"/>
      <c r="J50" s="7"/>
      <c r="K50" s="90">
        <f>SUM(H50:H57)</f>
        <v>0</v>
      </c>
      <c r="L50" s="90">
        <f>SUM(J50:J57)</f>
        <v>0</v>
      </c>
      <c r="M50" s="7"/>
      <c r="N50" s="7"/>
      <c r="O50" s="7"/>
      <c r="P50" s="90">
        <f>K50/$Q$1</f>
        <v>0</v>
      </c>
      <c r="Q50" s="90">
        <f>L50/$Q$1</f>
        <v>0</v>
      </c>
      <c r="R50" s="90">
        <v>0</v>
      </c>
      <c r="S50" s="90">
        <v>0</v>
      </c>
      <c r="T50" s="90">
        <f>R50/$U$1</f>
        <v>0</v>
      </c>
      <c r="U50" s="90">
        <f>S50/$U$1</f>
        <v>0</v>
      </c>
    </row>
    <row r="51" spans="1:21">
      <c r="A51" s="85"/>
      <c r="B51"/>
      <c r="C51" s="14"/>
      <c r="D51" s="14"/>
      <c r="E51" s="14"/>
      <c r="F51" s="14"/>
      <c r="G51" s="14"/>
      <c r="H51" s="7"/>
      <c r="I51" s="7"/>
      <c r="J51" s="7"/>
      <c r="K51" s="90"/>
      <c r="L51" s="90"/>
      <c r="M51" s="7"/>
      <c r="N51" s="7"/>
      <c r="O51" s="7"/>
      <c r="P51" s="90"/>
      <c r="Q51" s="90"/>
      <c r="R51" s="90"/>
      <c r="S51" s="90"/>
      <c r="T51" s="90"/>
      <c r="U51" s="90"/>
    </row>
    <row r="52" spans="1:21">
      <c r="A52" s="85"/>
      <c r="B52"/>
      <c r="C52" s="14"/>
      <c r="D52" s="14"/>
      <c r="E52" s="14"/>
      <c r="F52" s="14"/>
      <c r="G52" s="14"/>
      <c r="H52" s="7"/>
      <c r="I52" s="7"/>
      <c r="J52" s="7"/>
      <c r="K52" s="90"/>
      <c r="L52" s="90"/>
      <c r="M52" s="7"/>
      <c r="N52" s="7"/>
      <c r="O52" s="7"/>
      <c r="P52" s="90"/>
      <c r="Q52" s="90"/>
      <c r="R52" s="90"/>
      <c r="S52" s="90"/>
      <c r="T52" s="90"/>
      <c r="U52" s="90"/>
    </row>
    <row r="53" spans="1:21">
      <c r="A53" s="85"/>
      <c r="B53"/>
      <c r="C53" s="14"/>
      <c r="D53" s="14"/>
      <c r="E53" s="14"/>
      <c r="F53" s="14"/>
      <c r="G53" s="14"/>
      <c r="H53" s="7"/>
      <c r="I53" s="7"/>
      <c r="J53" s="7"/>
      <c r="K53" s="90"/>
      <c r="L53" s="90"/>
      <c r="M53" s="7"/>
      <c r="N53" s="7"/>
      <c r="O53" s="7"/>
      <c r="P53" s="90"/>
      <c r="Q53" s="90"/>
      <c r="R53" s="90"/>
      <c r="S53" s="90"/>
      <c r="T53" s="90"/>
      <c r="U53" s="90"/>
    </row>
    <row r="54" spans="1:21">
      <c r="A54" s="85"/>
      <c r="B54"/>
      <c r="C54" s="14"/>
      <c r="D54" s="14"/>
      <c r="E54" s="14"/>
      <c r="F54" s="14"/>
      <c r="G54" s="14"/>
      <c r="H54" s="7"/>
      <c r="I54" s="7"/>
      <c r="J54" s="7"/>
      <c r="K54" s="90"/>
      <c r="L54" s="90"/>
      <c r="M54" s="7"/>
      <c r="N54" s="7"/>
      <c r="O54" s="7"/>
      <c r="P54" s="90"/>
      <c r="Q54" s="90"/>
      <c r="R54" s="90"/>
      <c r="S54" s="90"/>
      <c r="T54" s="90"/>
      <c r="U54" s="90"/>
    </row>
    <row r="55" spans="1:21">
      <c r="A55" s="85"/>
      <c r="B55" s="2"/>
      <c r="C55"/>
      <c r="D55"/>
      <c r="E55"/>
      <c r="F55"/>
      <c r="G55"/>
      <c r="H55" s="7"/>
      <c r="I55" s="7"/>
      <c r="J55" s="7"/>
      <c r="K55" s="90"/>
      <c r="L55" s="90"/>
      <c r="M55" s="7"/>
      <c r="N55" s="7"/>
      <c r="O55" s="7"/>
      <c r="P55" s="90"/>
      <c r="Q55" s="90"/>
      <c r="R55" s="90"/>
      <c r="S55" s="90"/>
      <c r="T55" s="90"/>
      <c r="U55" s="90"/>
    </row>
    <row r="56" spans="1:21">
      <c r="A56" s="85"/>
      <c r="B56" s="2"/>
      <c r="C56" s="14"/>
      <c r="D56" s="14"/>
      <c r="E56" s="14"/>
      <c r="F56" s="14"/>
      <c r="G56" s="14"/>
      <c r="H56" s="7"/>
      <c r="I56" s="7"/>
      <c r="J56"/>
      <c r="K56" s="90"/>
      <c r="L56" s="90"/>
      <c r="M56" s="7"/>
      <c r="N56" s="7"/>
      <c r="O56" s="7"/>
      <c r="P56" s="90"/>
      <c r="Q56" s="90"/>
      <c r="R56" s="90"/>
      <c r="S56" s="90"/>
      <c r="T56" s="90"/>
      <c r="U56" s="90"/>
    </row>
    <row r="57" spans="1:21">
      <c r="A57" s="85"/>
      <c r="B57" s="2"/>
      <c r="C57" s="14"/>
      <c r="D57" s="14"/>
      <c r="E57" s="14"/>
      <c r="F57" s="14"/>
      <c r="G57" s="14"/>
      <c r="H57" s="7"/>
      <c r="I57" s="7"/>
      <c r="J57"/>
      <c r="K57" s="90"/>
      <c r="L57" s="90"/>
      <c r="M57" s="7"/>
      <c r="N57" s="7"/>
      <c r="O57" s="7"/>
      <c r="P57" s="90"/>
      <c r="Q57" s="90"/>
      <c r="R57" s="90"/>
      <c r="S57" s="90"/>
      <c r="T57" s="90"/>
      <c r="U57" s="90"/>
    </row>
    <row r="58" spans="1:21" ht="14">
      <c r="B58" s="17" t="s">
        <v>55</v>
      </c>
      <c r="C58" s="14"/>
      <c r="D58" s="14"/>
      <c r="E58" s="14"/>
      <c r="F58" s="14"/>
      <c r="G58" s="14"/>
      <c r="H58" s="7"/>
      <c r="I58" s="7"/>
      <c r="J58" s="7"/>
      <c r="K58" s="7">
        <f>SUM(K4:K57)-K31</f>
        <v>87.4</v>
      </c>
      <c r="L58" s="7">
        <f>SUM(L4:L57)-L31</f>
        <v>26.65</v>
      </c>
      <c r="M58" s="7"/>
      <c r="N58" s="7"/>
      <c r="O58" s="7"/>
      <c r="P58" s="7">
        <f>K58/$Q$1</f>
        <v>30.137931034482762</v>
      </c>
      <c r="Q58" s="7">
        <f>L58/$Q$1</f>
        <v>9.1896551724137936</v>
      </c>
      <c r="R58" s="7" t="e">
        <f>R4+R32+R33+#REF!+#REF!+R43+R50</f>
        <v>#REF!</v>
      </c>
      <c r="S58" s="7" t="e">
        <f>S4+S32+S33+#REF!+#REF!+S43+S50</f>
        <v>#REF!</v>
      </c>
      <c r="T58" s="7" t="e">
        <f>R58/$U$1</f>
        <v>#REF!</v>
      </c>
      <c r="U58" s="7" t="e">
        <f>S58/$U$1</f>
        <v>#REF!</v>
      </c>
    </row>
    <row r="59" spans="1:21" ht="14">
      <c r="B59" s="18" t="s">
        <v>56</v>
      </c>
      <c r="C59" s="14"/>
      <c r="D59" s="14"/>
      <c r="E59" s="14"/>
      <c r="F59" s="14"/>
      <c r="G59" s="14"/>
      <c r="H59" s="7"/>
      <c r="I59" s="7"/>
      <c r="J59" s="7"/>
      <c r="K59" s="19">
        <f>K58-$O$4</f>
        <v>60.75</v>
      </c>
      <c r="L59" s="19">
        <f>L58-$O$4</f>
        <v>0</v>
      </c>
      <c r="M59" s="7"/>
      <c r="N59" s="7"/>
      <c r="O59" s="7"/>
      <c r="P59" s="7">
        <f>K59/$Q$1</f>
        <v>20.948275862068964</v>
      </c>
      <c r="Q59" s="7">
        <f>L59/$Q$1</f>
        <v>0</v>
      </c>
    </row>
    <row r="60" spans="1:21">
      <c r="B60" s="2"/>
      <c r="C60" s="14"/>
      <c r="D60" s="14"/>
      <c r="E60" s="14"/>
      <c r="F60" s="14"/>
      <c r="G60" s="14"/>
      <c r="H60" s="7"/>
      <c r="I60" s="7"/>
      <c r="J60" s="7"/>
      <c r="K60" s="7"/>
      <c r="L60" s="7"/>
      <c r="M60" s="7"/>
      <c r="N60" s="7"/>
      <c r="O60" s="7"/>
    </row>
    <row r="61" spans="1:21">
      <c r="B61" s="2"/>
      <c r="C61" s="14"/>
      <c r="D61" s="14"/>
      <c r="E61" s="14"/>
      <c r="F61" s="14"/>
      <c r="G61" s="14"/>
      <c r="H61" s="7"/>
      <c r="I61" s="7"/>
      <c r="J61" s="7"/>
      <c r="K61" s="7"/>
      <c r="L61" s="7"/>
      <c r="M61" s="7"/>
      <c r="N61" s="7"/>
      <c r="O61" s="7"/>
    </row>
    <row r="62" spans="1:21">
      <c r="B62" s="2"/>
      <c r="C62" s="14"/>
      <c r="D62" s="14"/>
      <c r="E62" s="14"/>
      <c r="F62" s="14"/>
      <c r="G62" s="14"/>
      <c r="H62" s="7"/>
      <c r="I62" s="7"/>
      <c r="J62" s="7"/>
      <c r="K62" s="7"/>
      <c r="L62" s="7"/>
      <c r="M62" s="7"/>
      <c r="N62" s="7"/>
      <c r="O62" s="7"/>
    </row>
    <row r="63" spans="1:21">
      <c r="B63" s="2"/>
      <c r="C63" s="14"/>
      <c r="D63" s="14"/>
      <c r="E63" s="14"/>
      <c r="F63" s="14"/>
      <c r="G63" s="14"/>
      <c r="H63" s="7"/>
      <c r="I63" s="7"/>
      <c r="J63" s="7"/>
      <c r="K63" s="7"/>
      <c r="L63" s="7"/>
      <c r="M63" s="7"/>
      <c r="N63" s="7"/>
      <c r="O63" s="7"/>
    </row>
    <row r="64" spans="1:21">
      <c r="B64" s="2"/>
      <c r="C64" s="14"/>
      <c r="D64" s="14"/>
      <c r="E64" s="14"/>
      <c r="F64" s="14"/>
      <c r="G64" s="14"/>
      <c r="H64" s="7"/>
      <c r="I64" s="7"/>
      <c r="J64" s="7"/>
      <c r="K64" s="7"/>
      <c r="L64" s="7"/>
      <c r="M64" s="7"/>
      <c r="N64" s="7"/>
      <c r="O64" s="7"/>
    </row>
    <row r="65" spans="2:15">
      <c r="B65" s="2"/>
      <c r="C65" s="14"/>
      <c r="D65" s="14"/>
      <c r="E65" s="14"/>
      <c r="F65" s="14"/>
      <c r="G65" s="14"/>
      <c r="H65" s="7"/>
      <c r="I65" s="7"/>
      <c r="J65" s="7"/>
      <c r="K65" s="7"/>
      <c r="L65" s="7"/>
      <c r="M65" s="7"/>
      <c r="N65" s="7"/>
      <c r="O65" s="7"/>
    </row>
    <row r="66" spans="2:15">
      <c r="B66" s="2"/>
      <c r="C66" s="14"/>
      <c r="D66" s="14"/>
      <c r="E66" s="14"/>
      <c r="F66" s="14"/>
      <c r="G66" s="14"/>
      <c r="H66" s="7"/>
      <c r="I66" s="7"/>
      <c r="J66" s="7"/>
      <c r="K66" s="7"/>
      <c r="L66" s="7"/>
      <c r="M66" s="7"/>
      <c r="N66" s="7"/>
      <c r="O66" s="7"/>
    </row>
    <row r="67" spans="2:15">
      <c r="B67" s="2"/>
      <c r="C67" s="14"/>
      <c r="D67" s="14"/>
      <c r="E67" s="14"/>
      <c r="F67" s="14"/>
      <c r="G67" s="14"/>
      <c r="H67" s="7"/>
      <c r="I67" s="7"/>
      <c r="J67" s="7"/>
      <c r="K67" s="7"/>
      <c r="L67" s="7"/>
      <c r="M67" s="7"/>
      <c r="N67" s="7"/>
      <c r="O67" s="7"/>
    </row>
    <row r="68" spans="2:15">
      <c r="B68" s="2"/>
      <c r="C68" s="14"/>
      <c r="D68" s="14"/>
      <c r="E68" s="14"/>
      <c r="F68" s="14"/>
      <c r="G68" s="14"/>
      <c r="H68" s="7"/>
      <c r="I68" s="7"/>
      <c r="J68" s="7"/>
      <c r="K68" s="7"/>
      <c r="L68" s="7"/>
      <c r="M68" s="7"/>
      <c r="N68" s="7"/>
      <c r="O68" s="7"/>
    </row>
    <row r="69" spans="2:15">
      <c r="B69" s="2"/>
      <c r="C69" s="14"/>
      <c r="D69" s="14"/>
      <c r="E69" s="14"/>
      <c r="F69" s="14"/>
      <c r="G69" s="14"/>
      <c r="H69" s="7"/>
      <c r="I69" s="7"/>
      <c r="J69" s="7"/>
      <c r="K69" s="7"/>
      <c r="L69" s="7"/>
      <c r="M69" s="7"/>
      <c r="N69" s="7"/>
      <c r="O69" s="7"/>
    </row>
    <row r="70" spans="2:15">
      <c r="H70" s="7"/>
      <c r="I70" s="7"/>
      <c r="J70" s="7"/>
      <c r="K70" s="7"/>
      <c r="L70" s="7"/>
      <c r="M70" s="7"/>
      <c r="N70" s="7"/>
      <c r="O70" s="7"/>
    </row>
    <row r="71" spans="2:15" ht="14">
      <c r="H71" s="7" t="s">
        <v>41</v>
      </c>
      <c r="I71" s="7"/>
      <c r="J71" s="7"/>
      <c r="K71" s="7"/>
      <c r="L71" s="7"/>
      <c r="M71" s="7"/>
      <c r="N71" s="7"/>
      <c r="O71" s="7"/>
    </row>
  </sheetData>
  <mergeCells count="61">
    <mergeCell ref="U50:U57"/>
    <mergeCell ref="T43:T49"/>
    <mergeCell ref="U43:U49"/>
    <mergeCell ref="A50:A57"/>
    <mergeCell ref="K50:K57"/>
    <mergeCell ref="L50:L57"/>
    <mergeCell ref="P50:P57"/>
    <mergeCell ref="Q50:Q57"/>
    <mergeCell ref="R50:R57"/>
    <mergeCell ref="S50:S57"/>
    <mergeCell ref="T50:T57"/>
    <mergeCell ref="R43:R49"/>
    <mergeCell ref="S43:S49"/>
    <mergeCell ref="A37:A42"/>
    <mergeCell ref="K37:K42"/>
    <mergeCell ref="L37:L42"/>
    <mergeCell ref="P37:P42"/>
    <mergeCell ref="Q37:Q42"/>
    <mergeCell ref="R37:R42"/>
    <mergeCell ref="A43:A49"/>
    <mergeCell ref="K43:K49"/>
    <mergeCell ref="L43:L49"/>
    <mergeCell ref="P43:P49"/>
    <mergeCell ref="Q43:Q49"/>
    <mergeCell ref="S33:S36"/>
    <mergeCell ref="T33:T36"/>
    <mergeCell ref="S37:S42"/>
    <mergeCell ref="T37:T42"/>
    <mergeCell ref="U37:U42"/>
    <mergeCell ref="U33:U36"/>
    <mergeCell ref="A16:A29"/>
    <mergeCell ref="A30:B31"/>
    <mergeCell ref="K30:L30"/>
    <mergeCell ref="A33:A36"/>
    <mergeCell ref="K33:K36"/>
    <mergeCell ref="L33:L36"/>
    <mergeCell ref="P4:P29"/>
    <mergeCell ref="Q4:Q29"/>
    <mergeCell ref="R4:R29"/>
    <mergeCell ref="S4:S29"/>
    <mergeCell ref="T4:T29"/>
    <mergeCell ref="U4:U29"/>
    <mergeCell ref="P33:P36"/>
    <mergeCell ref="Q33:Q36"/>
    <mergeCell ref="R33:R36"/>
    <mergeCell ref="M2:O2"/>
    <mergeCell ref="P2:Q2"/>
    <mergeCell ref="R2:S2"/>
    <mergeCell ref="T2:U2"/>
    <mergeCell ref="A4:A15"/>
    <mergeCell ref="K4:K29"/>
    <mergeCell ref="L4:L29"/>
    <mergeCell ref="M4:M29"/>
    <mergeCell ref="N4:N29"/>
    <mergeCell ref="O4:O29"/>
    <mergeCell ref="A1:L1"/>
    <mergeCell ref="A2:A3"/>
    <mergeCell ref="B2:B3"/>
    <mergeCell ref="C2:G2"/>
    <mergeCell ref="H2:J2"/>
    <mergeCell ref="K2:L2"/>
  </mergeCells>
  <pageMargins left="0.78749999999999998" right="0.78749999999999998" top="1.05277777777778" bottom="1.05277777777778" header="0.78749999999999998" footer="0.78749999999999998"/>
  <pageSetup paperSize="9" orientation="portrait" useFirstPageNumber="1" horizontalDpi="4294967292" verticalDpi="4294967292"/>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D34D5-B455-DB48-A7E3-594B57C9062D}">
  <dimension ref="A1:B6"/>
  <sheetViews>
    <sheetView workbookViewId="0">
      <selection activeCell="B2" sqref="B2"/>
    </sheetView>
  </sheetViews>
  <sheetFormatPr baseColWidth="10" defaultRowHeight="13"/>
  <cols>
    <col min="1" max="1" width="15.6640625" customWidth="1"/>
  </cols>
  <sheetData>
    <row r="1" spans="1:2">
      <c r="B1" t="s">
        <v>126</v>
      </c>
    </row>
    <row r="3" spans="1:2">
      <c r="A3" t="s">
        <v>127</v>
      </c>
      <c r="B3">
        <v>3</v>
      </c>
    </row>
    <row r="4" spans="1:2">
      <c r="A4" t="s">
        <v>138</v>
      </c>
      <c r="B4">
        <v>4</v>
      </c>
    </row>
    <row r="6" spans="1:2">
      <c r="A6" t="s">
        <v>38</v>
      </c>
      <c r="B6">
        <v>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F7E5-C373-774A-851F-134432DCCDC3}">
  <dimension ref="A1:AH83"/>
  <sheetViews>
    <sheetView topLeftCell="A39" zoomScale="80" zoomScaleNormal="80" workbookViewId="0">
      <selection activeCell="K76" sqref="K76"/>
    </sheetView>
  </sheetViews>
  <sheetFormatPr baseColWidth="10" defaultColWidth="8.83203125" defaultRowHeight="13"/>
  <cols>
    <col min="1" max="1" width="8.83203125" style="70"/>
    <col min="2" max="2" width="8.83203125" style="72"/>
    <col min="3" max="34" width="8.83203125" style="70"/>
    <col min="35" max="16384" width="8.83203125" style="26"/>
  </cols>
  <sheetData>
    <row r="1" spans="1:34" ht="23.75" customHeight="1">
      <c r="A1" s="94" t="s">
        <v>84</v>
      </c>
      <c r="B1" s="94" t="s">
        <v>0</v>
      </c>
      <c r="C1" s="94"/>
      <c r="D1" s="94"/>
      <c r="E1" s="94"/>
      <c r="F1" s="94"/>
      <c r="G1" s="94"/>
      <c r="H1" s="94"/>
      <c r="I1" s="94"/>
      <c r="J1" s="94"/>
      <c r="K1" s="94"/>
      <c r="L1" s="94"/>
      <c r="P1" s="70" t="s">
        <v>1</v>
      </c>
      <c r="Q1" s="25">
        <v>12.61</v>
      </c>
      <c r="T1" s="70" t="s">
        <v>2</v>
      </c>
      <c r="U1" s="70">
        <v>15.1</v>
      </c>
      <c r="V1" s="26"/>
      <c r="W1" s="70" t="s">
        <v>3</v>
      </c>
      <c r="X1" s="70">
        <f>2.1/30</f>
        <v>7.0000000000000007E-2</v>
      </c>
      <c r="Y1" s="70" t="s">
        <v>4</v>
      </c>
      <c r="Z1" s="70">
        <f>1.8/30</f>
        <v>6.0000000000000005E-2</v>
      </c>
      <c r="AA1" s="26"/>
      <c r="AB1" s="26"/>
      <c r="AC1" s="26"/>
      <c r="AD1" s="26"/>
      <c r="AE1" s="26"/>
      <c r="AF1" s="26"/>
      <c r="AG1" s="26"/>
      <c r="AH1" s="26"/>
    </row>
    <row r="2" spans="1:34" ht="12.75" customHeight="1">
      <c r="A2" s="94" t="s">
        <v>85</v>
      </c>
      <c r="B2" s="95" t="s">
        <v>5</v>
      </c>
      <c r="C2" s="94" t="s">
        <v>6</v>
      </c>
      <c r="D2" s="94"/>
      <c r="E2" s="94"/>
      <c r="F2" s="94"/>
      <c r="G2" s="94"/>
      <c r="H2" s="94" t="s">
        <v>7</v>
      </c>
      <c r="I2" s="94"/>
      <c r="J2" s="94"/>
      <c r="K2" s="94" t="s">
        <v>8</v>
      </c>
      <c r="L2" s="94"/>
      <c r="M2" s="94" t="s">
        <v>9</v>
      </c>
      <c r="N2" s="94"/>
      <c r="O2" s="94"/>
      <c r="P2" s="94" t="s">
        <v>10</v>
      </c>
      <c r="Q2" s="94"/>
      <c r="R2" s="94" t="s">
        <v>86</v>
      </c>
      <c r="S2" s="94"/>
      <c r="T2" s="94" t="s">
        <v>87</v>
      </c>
      <c r="U2" s="94"/>
      <c r="V2" s="26"/>
      <c r="W2" s="26"/>
      <c r="X2" s="26"/>
      <c r="Y2" s="26"/>
      <c r="Z2" s="26"/>
      <c r="AA2" s="26"/>
      <c r="AB2" s="26"/>
      <c r="AC2" s="26"/>
      <c r="AD2" s="26"/>
      <c r="AE2" s="26"/>
      <c r="AF2" s="26"/>
      <c r="AG2" s="26"/>
      <c r="AH2" s="26"/>
    </row>
    <row r="3" spans="1:34" ht="56">
      <c r="A3" s="94"/>
      <c r="B3" s="95"/>
      <c r="C3" s="70" t="s">
        <v>11</v>
      </c>
      <c r="D3" s="70" t="s">
        <v>12</v>
      </c>
      <c r="E3" s="70" t="s">
        <v>13</v>
      </c>
      <c r="F3" s="70" t="s">
        <v>14</v>
      </c>
      <c r="G3" s="70" t="s">
        <v>15</v>
      </c>
      <c r="H3" s="70" t="s">
        <v>16</v>
      </c>
      <c r="I3" s="70" t="s">
        <v>17</v>
      </c>
      <c r="J3" s="70" t="s">
        <v>18</v>
      </c>
      <c r="K3" s="70" t="s">
        <v>16</v>
      </c>
      <c r="L3" s="70" t="s">
        <v>18</v>
      </c>
      <c r="M3" s="70" t="s">
        <v>19</v>
      </c>
      <c r="N3" s="70" t="s">
        <v>20</v>
      </c>
      <c r="O3" s="70" t="s">
        <v>21</v>
      </c>
      <c r="P3" s="70" t="s">
        <v>16</v>
      </c>
      <c r="Q3" s="70" t="s">
        <v>18</v>
      </c>
      <c r="R3" s="70" t="s">
        <v>16</v>
      </c>
      <c r="S3" s="70" t="s">
        <v>18</v>
      </c>
      <c r="T3" s="70" t="s">
        <v>17</v>
      </c>
      <c r="U3" s="70" t="s">
        <v>18</v>
      </c>
      <c r="V3" s="70" t="s">
        <v>22</v>
      </c>
      <c r="W3" s="70" t="s">
        <v>23</v>
      </c>
      <c r="X3" s="70" t="s">
        <v>24</v>
      </c>
      <c r="Y3" s="70" t="s">
        <v>25</v>
      </c>
      <c r="Z3" s="70" t="s">
        <v>26</v>
      </c>
      <c r="AA3" s="70" t="s">
        <v>27</v>
      </c>
      <c r="AB3" s="70" t="s">
        <v>28</v>
      </c>
      <c r="AC3" s="70" t="s">
        <v>29</v>
      </c>
      <c r="AD3" s="70" t="s">
        <v>30</v>
      </c>
      <c r="AE3" s="70" t="s">
        <v>31</v>
      </c>
      <c r="AF3" s="70" t="s">
        <v>32</v>
      </c>
      <c r="AG3" s="70" t="s">
        <v>33</v>
      </c>
      <c r="AH3" s="70" t="s">
        <v>34</v>
      </c>
    </row>
    <row r="4" spans="1:34" ht="23.75" customHeight="1">
      <c r="A4" s="94" t="s">
        <v>43</v>
      </c>
      <c r="B4" s="72" t="s">
        <v>88</v>
      </c>
      <c r="C4" s="69">
        <v>7.5</v>
      </c>
      <c r="D4" s="69"/>
      <c r="E4" s="69"/>
      <c r="F4" s="69"/>
      <c r="G4" s="69"/>
      <c r="H4" s="69">
        <f t="shared" ref="H4:H15" si="0">IF(B4="","",C4)</f>
        <v>7.5</v>
      </c>
      <c r="I4" s="69">
        <f t="shared" ref="I4:I13" si="1">IF(B4="","",H4-J4)</f>
        <v>7.5</v>
      </c>
      <c r="J4" s="69"/>
      <c r="K4" s="96">
        <f>SUM(H4:H37)</f>
        <v>404.5</v>
      </c>
      <c r="L4" s="96">
        <f>SUM(J4:J37)</f>
        <v>162.10999999999999</v>
      </c>
      <c r="M4" s="97">
        <f>SUM(C16:C37)</f>
        <v>320.5</v>
      </c>
      <c r="N4" s="98">
        <f>SUM(D16:D37)/30</f>
        <v>41.56666666666667</v>
      </c>
      <c r="O4" s="98">
        <f>N4*(2.1+1.8)</f>
        <v>162.11000000000001</v>
      </c>
      <c r="P4" s="101">
        <f>K39/$Q$1</f>
        <v>19.222045995241871</v>
      </c>
      <c r="Q4" s="101">
        <f>L39/$Q$1</f>
        <v>0</v>
      </c>
      <c r="R4" s="96">
        <v>229.5</v>
      </c>
      <c r="S4" s="96">
        <v>56.5</v>
      </c>
      <c r="T4" s="96">
        <f>R4/$U$1</f>
        <v>15.198675496688741</v>
      </c>
      <c r="U4" s="96">
        <f>S4/$U$1</f>
        <v>3.741721854304636</v>
      </c>
      <c r="V4" s="70">
        <f t="shared" ref="V4:V9" si="2">IF(AB4="","",W4*X4*Z4)</f>
        <v>7560</v>
      </c>
      <c r="W4" s="70">
        <v>3</v>
      </c>
      <c r="X4" s="70">
        <f t="shared" ref="X4:X13" si="3">IF(B4="","",AD4*AC4+AF4*AE4+AA4+AB4)</f>
        <v>630</v>
      </c>
      <c r="Y4" s="70" t="str">
        <f>IF(OR(B4="",AG4="",AG4=0),"",AA4+AB4+AD4*AG4+AH4*(AD4+AF4))</f>
        <v/>
      </c>
      <c r="Z4" s="70">
        <v>4</v>
      </c>
      <c r="AA4" s="70">
        <v>250</v>
      </c>
      <c r="AB4" s="70">
        <v>0</v>
      </c>
      <c r="AC4" s="70">
        <v>160</v>
      </c>
      <c r="AD4" s="70">
        <v>2</v>
      </c>
      <c r="AE4" s="70">
        <v>60</v>
      </c>
      <c r="AF4" s="70">
        <v>1</v>
      </c>
      <c r="AG4" s="26"/>
      <c r="AH4" s="26"/>
    </row>
    <row r="5" spans="1:34" ht="345">
      <c r="A5" s="94"/>
      <c r="B5" s="72" t="s">
        <v>89</v>
      </c>
      <c r="C5" s="69">
        <v>7.5</v>
      </c>
      <c r="D5" s="69"/>
      <c r="E5" s="69"/>
      <c r="F5" s="69"/>
      <c r="G5" s="69"/>
      <c r="H5" s="69">
        <f t="shared" si="0"/>
        <v>7.5</v>
      </c>
      <c r="I5" s="69">
        <f t="shared" si="1"/>
        <v>7.5</v>
      </c>
      <c r="J5" s="69"/>
      <c r="K5" s="96"/>
      <c r="L5" s="96"/>
      <c r="M5" s="97"/>
      <c r="N5" s="98"/>
      <c r="O5" s="98"/>
      <c r="P5" s="101"/>
      <c r="Q5" s="101"/>
      <c r="R5" s="96"/>
      <c r="S5" s="96"/>
      <c r="T5" s="96"/>
      <c r="U5" s="96"/>
      <c r="V5" s="70">
        <f t="shared" si="2"/>
        <v>7560</v>
      </c>
      <c r="W5" s="70">
        <v>4</v>
      </c>
      <c r="X5" s="70">
        <f t="shared" si="3"/>
        <v>630</v>
      </c>
      <c r="Z5" s="70">
        <v>3</v>
      </c>
      <c r="AA5" s="70">
        <v>250</v>
      </c>
      <c r="AB5" s="70">
        <v>0</v>
      </c>
      <c r="AC5" s="70">
        <v>160</v>
      </c>
      <c r="AD5" s="70">
        <v>2</v>
      </c>
      <c r="AE5" s="70">
        <v>60</v>
      </c>
      <c r="AF5" s="70">
        <v>1</v>
      </c>
      <c r="AG5" s="26"/>
      <c r="AH5" s="26"/>
    </row>
    <row r="6" spans="1:34" ht="293">
      <c r="A6" s="94"/>
      <c r="B6" s="72" t="s">
        <v>90</v>
      </c>
      <c r="C6" s="69">
        <v>4.5</v>
      </c>
      <c r="D6" s="69"/>
      <c r="E6" s="69"/>
      <c r="F6" s="69"/>
      <c r="G6" s="69"/>
      <c r="H6" s="69">
        <f t="shared" si="0"/>
        <v>4.5</v>
      </c>
      <c r="I6" s="69">
        <f t="shared" si="1"/>
        <v>4.5</v>
      </c>
      <c r="J6" s="69"/>
      <c r="K6" s="96"/>
      <c r="L6" s="96"/>
      <c r="M6" s="97"/>
      <c r="N6" s="98"/>
      <c r="O6" s="98"/>
      <c r="P6" s="101"/>
      <c r="Q6" s="101"/>
      <c r="R6" s="96"/>
      <c r="S6" s="96"/>
      <c r="T6" s="96"/>
      <c r="U6" s="96"/>
      <c r="V6" s="70">
        <f t="shared" si="2"/>
        <v>4440</v>
      </c>
      <c r="W6" s="70">
        <v>1</v>
      </c>
      <c r="X6" s="70">
        <f t="shared" si="3"/>
        <v>1110</v>
      </c>
      <c r="Z6" s="70">
        <v>4</v>
      </c>
      <c r="AA6" s="70">
        <v>250</v>
      </c>
      <c r="AB6" s="70">
        <v>0</v>
      </c>
      <c r="AC6" s="70">
        <v>160</v>
      </c>
      <c r="AD6" s="70">
        <v>5</v>
      </c>
      <c r="AE6" s="70">
        <v>60</v>
      </c>
      <c r="AF6" s="70">
        <v>1</v>
      </c>
      <c r="AG6" s="26"/>
      <c r="AH6" s="26"/>
    </row>
    <row r="7" spans="1:34" ht="84">
      <c r="A7" s="94"/>
      <c r="B7" s="72" t="s">
        <v>91</v>
      </c>
      <c r="C7" s="69">
        <v>19</v>
      </c>
      <c r="D7" s="69"/>
      <c r="E7" s="69"/>
      <c r="F7" s="69"/>
      <c r="G7" s="69"/>
      <c r="H7" s="69">
        <f t="shared" si="0"/>
        <v>19</v>
      </c>
      <c r="I7" s="69">
        <f t="shared" si="1"/>
        <v>19</v>
      </c>
      <c r="J7" s="69"/>
      <c r="K7" s="96"/>
      <c r="L7" s="96"/>
      <c r="M7" s="97"/>
      <c r="N7" s="98"/>
      <c r="O7" s="98"/>
      <c r="P7" s="101"/>
      <c r="Q7" s="101"/>
      <c r="R7" s="96"/>
      <c r="S7" s="96"/>
      <c r="T7" s="96"/>
      <c r="U7" s="96"/>
      <c r="V7" s="70">
        <f t="shared" si="2"/>
        <v>18900</v>
      </c>
      <c r="W7" s="70">
        <v>10</v>
      </c>
      <c r="X7" s="70">
        <f t="shared" si="3"/>
        <v>630</v>
      </c>
      <c r="Z7" s="70">
        <v>3</v>
      </c>
      <c r="AA7" s="70">
        <v>250</v>
      </c>
      <c r="AB7" s="70">
        <v>0</v>
      </c>
      <c r="AC7" s="70">
        <v>160</v>
      </c>
      <c r="AD7" s="70">
        <v>2</v>
      </c>
      <c r="AE7" s="70">
        <v>60</v>
      </c>
      <c r="AF7" s="70">
        <v>1</v>
      </c>
      <c r="AG7" s="26"/>
      <c r="AH7" s="26"/>
    </row>
    <row r="8" spans="1:34" ht="126">
      <c r="A8" s="94"/>
      <c r="B8" s="72" t="s">
        <v>45</v>
      </c>
      <c r="C8" s="69">
        <v>1.5</v>
      </c>
      <c r="D8" s="69"/>
      <c r="E8" s="69"/>
      <c r="F8" s="69"/>
      <c r="G8" s="69"/>
      <c r="H8" s="69">
        <f t="shared" si="0"/>
        <v>1.5</v>
      </c>
      <c r="I8" s="69">
        <f t="shared" si="1"/>
        <v>1.5</v>
      </c>
      <c r="J8" s="69"/>
      <c r="K8" s="96"/>
      <c r="L8" s="96"/>
      <c r="M8" s="97"/>
      <c r="N8" s="98"/>
      <c r="O8" s="98"/>
      <c r="P8" s="101"/>
      <c r="Q8" s="101"/>
      <c r="R8" s="96"/>
      <c r="S8" s="96"/>
      <c r="T8" s="96"/>
      <c r="U8" s="96"/>
      <c r="V8" s="70">
        <f t="shared" si="2"/>
        <v>1260</v>
      </c>
      <c r="W8" s="70">
        <v>2</v>
      </c>
      <c r="X8" s="70">
        <f t="shared" si="3"/>
        <v>630</v>
      </c>
      <c r="Z8" s="70">
        <v>1</v>
      </c>
      <c r="AA8" s="70">
        <v>250</v>
      </c>
      <c r="AB8" s="70">
        <v>0</v>
      </c>
      <c r="AC8" s="70">
        <v>160</v>
      </c>
      <c r="AD8" s="70">
        <v>2</v>
      </c>
      <c r="AE8" s="70">
        <v>60</v>
      </c>
      <c r="AF8" s="70">
        <v>1</v>
      </c>
      <c r="AG8" s="26"/>
      <c r="AH8" s="26"/>
    </row>
    <row r="9" spans="1:34" ht="14">
      <c r="A9" s="94"/>
      <c r="C9" s="69"/>
      <c r="D9" s="69"/>
      <c r="E9" s="69"/>
      <c r="F9" s="69"/>
      <c r="G9" s="69"/>
      <c r="H9" s="69" t="str">
        <f t="shared" si="0"/>
        <v/>
      </c>
      <c r="I9" s="69" t="str">
        <f t="shared" si="1"/>
        <v/>
      </c>
      <c r="J9" s="69"/>
      <c r="K9" s="96"/>
      <c r="L9" s="96"/>
      <c r="M9" s="97"/>
      <c r="N9" s="97"/>
      <c r="O9" s="97"/>
      <c r="P9" s="97"/>
      <c r="Q9" s="97"/>
      <c r="R9" s="97"/>
      <c r="S9" s="97"/>
      <c r="T9" s="97"/>
      <c r="U9" s="97"/>
      <c r="V9" s="70" t="str">
        <f t="shared" si="2"/>
        <v/>
      </c>
      <c r="W9" s="26"/>
      <c r="X9" s="70" t="str">
        <f t="shared" si="3"/>
        <v/>
      </c>
      <c r="Y9" s="70" t="str">
        <f>IF(OR(B9="",AG9="",AG9=0),"",AA9+AB9+AD9*AG9+AH9*(AD9+AF9))</f>
        <v/>
      </c>
      <c r="Z9" s="26"/>
      <c r="AA9" s="26"/>
      <c r="AB9" s="26"/>
      <c r="AC9" s="26"/>
      <c r="AD9" s="26"/>
      <c r="AE9" s="26"/>
      <c r="AF9" s="26"/>
      <c r="AG9" s="26"/>
      <c r="AH9" s="26"/>
    </row>
    <row r="10" spans="1:34" ht="98">
      <c r="A10" s="94"/>
      <c r="B10" s="27" t="s">
        <v>46</v>
      </c>
      <c r="C10" s="69">
        <v>2</v>
      </c>
      <c r="D10" s="69"/>
      <c r="E10" s="69"/>
      <c r="F10" s="69"/>
      <c r="G10" s="69"/>
      <c r="H10" s="69">
        <f t="shared" si="0"/>
        <v>2</v>
      </c>
      <c r="I10" s="69">
        <f t="shared" si="1"/>
        <v>2</v>
      </c>
      <c r="J10" s="69"/>
      <c r="K10" s="96"/>
      <c r="L10" s="96"/>
      <c r="M10" s="97"/>
      <c r="N10" s="97"/>
      <c r="O10" s="97"/>
      <c r="P10" s="97"/>
      <c r="Q10" s="97"/>
      <c r="R10" s="97"/>
      <c r="S10" s="97"/>
      <c r="T10" s="97"/>
      <c r="U10" s="97"/>
      <c r="V10" s="70">
        <f>IF(AB10="","",W10*Y10*Z10)</f>
        <v>1920</v>
      </c>
      <c r="W10" s="70">
        <v>1</v>
      </c>
      <c r="X10" s="70">
        <f t="shared" si="3"/>
        <v>620</v>
      </c>
      <c r="Y10" s="70">
        <f>IF(OR(B10="",AG10="",AG10=0),"",AA10+AB10+AD10*AG10+AH10*(AD10+AF10))</f>
        <v>640</v>
      </c>
      <c r="Z10" s="70">
        <v>3</v>
      </c>
      <c r="AA10" s="70">
        <v>400</v>
      </c>
      <c r="AB10" s="70">
        <v>0</v>
      </c>
      <c r="AC10" s="70">
        <v>150</v>
      </c>
      <c r="AD10" s="70">
        <v>1</v>
      </c>
      <c r="AE10" s="70">
        <v>70</v>
      </c>
      <c r="AF10" s="70">
        <v>1</v>
      </c>
      <c r="AG10" s="70">
        <v>100</v>
      </c>
      <c r="AH10" s="70">
        <v>70</v>
      </c>
    </row>
    <row r="11" spans="1:34" ht="14">
      <c r="A11" s="94"/>
      <c r="C11" s="69"/>
      <c r="D11" s="69"/>
      <c r="E11" s="69"/>
      <c r="F11" s="69"/>
      <c r="G11" s="69"/>
      <c r="H11" s="69" t="str">
        <f t="shared" si="0"/>
        <v/>
      </c>
      <c r="I11" s="69" t="str">
        <f t="shared" si="1"/>
        <v/>
      </c>
      <c r="J11" s="69"/>
      <c r="K11" s="96"/>
      <c r="L11" s="96"/>
      <c r="M11" s="97"/>
      <c r="N11" s="97"/>
      <c r="O11" s="97"/>
      <c r="P11" s="97"/>
      <c r="Q11" s="97"/>
      <c r="R11" s="97"/>
      <c r="S11" s="97"/>
      <c r="T11" s="97"/>
      <c r="U11" s="97"/>
      <c r="V11" s="70" t="str">
        <f>IF(AB11="","",W11*Y11*Z11)</f>
        <v/>
      </c>
      <c r="W11" s="26"/>
      <c r="X11" s="70" t="str">
        <f t="shared" si="3"/>
        <v/>
      </c>
      <c r="Y11" s="70" t="str">
        <f>IF(OR(B11="",AG11="",AG11=0),"",AA11+AB11+AD11*AG11+AH11*(AD11+AF11))</f>
        <v/>
      </c>
      <c r="Z11" s="26"/>
      <c r="AA11" s="26"/>
      <c r="AB11" s="26"/>
      <c r="AC11" s="26"/>
      <c r="AD11" s="26"/>
      <c r="AE11" s="26"/>
      <c r="AF11" s="26"/>
      <c r="AG11" s="26"/>
      <c r="AH11" s="26"/>
    </row>
    <row r="12" spans="1:34" ht="409.6">
      <c r="A12" s="94"/>
      <c r="B12" s="28" t="s">
        <v>92</v>
      </c>
      <c r="C12" s="69">
        <v>25</v>
      </c>
      <c r="D12" s="69"/>
      <c r="E12" s="69"/>
      <c r="F12" s="69"/>
      <c r="G12" s="69"/>
      <c r="H12" s="69">
        <f t="shared" si="0"/>
        <v>25</v>
      </c>
      <c r="I12" s="69">
        <f t="shared" si="1"/>
        <v>25</v>
      </c>
      <c r="J12" s="69"/>
      <c r="K12" s="96"/>
      <c r="L12" s="96"/>
      <c r="M12" s="97"/>
      <c r="N12" s="97"/>
      <c r="O12" s="97"/>
      <c r="P12" s="97"/>
      <c r="Q12" s="97"/>
      <c r="R12" s="97"/>
      <c r="S12" s="97"/>
      <c r="T12" s="97"/>
      <c r="U12" s="97"/>
      <c r="V12" s="70">
        <f>IF(AB12="","",W12*Y12*Z12)</f>
        <v>25200</v>
      </c>
      <c r="W12" s="70">
        <v>6</v>
      </c>
      <c r="X12" s="70">
        <f t="shared" si="3"/>
        <v>1960</v>
      </c>
      <c r="Y12" s="70">
        <f>IF(OR(B12="",AG12="",AG12=0),"",AA12+AB12+AD12*AG12+AH12*(AD12+AF12))</f>
        <v>2100</v>
      </c>
      <c r="Z12" s="70">
        <v>2</v>
      </c>
      <c r="AA12" s="70">
        <v>900</v>
      </c>
      <c r="AB12" s="70">
        <v>160</v>
      </c>
      <c r="AC12" s="70">
        <v>120</v>
      </c>
      <c r="AD12" s="70">
        <v>7</v>
      </c>
      <c r="AE12" s="70">
        <v>60</v>
      </c>
      <c r="AF12" s="70">
        <v>1</v>
      </c>
      <c r="AG12" s="70">
        <v>80</v>
      </c>
      <c r="AH12" s="70">
        <v>60</v>
      </c>
    </row>
    <row r="13" spans="1:34" ht="252">
      <c r="A13" s="94"/>
      <c r="B13" s="27" t="s">
        <v>93</v>
      </c>
      <c r="C13" s="69">
        <v>17</v>
      </c>
      <c r="D13" s="69"/>
      <c r="E13" s="69"/>
      <c r="F13" s="69"/>
      <c r="G13" s="69"/>
      <c r="H13" s="69">
        <f t="shared" si="0"/>
        <v>17</v>
      </c>
      <c r="I13" s="69">
        <f t="shared" si="1"/>
        <v>17</v>
      </c>
      <c r="J13" s="69"/>
      <c r="K13" s="96"/>
      <c r="L13" s="96"/>
      <c r="M13" s="97"/>
      <c r="N13" s="97"/>
      <c r="O13" s="97"/>
      <c r="P13" s="97"/>
      <c r="Q13" s="97"/>
      <c r="R13" s="97"/>
      <c r="S13" s="97"/>
      <c r="T13" s="97"/>
      <c r="U13" s="97"/>
      <c r="V13" s="70">
        <f>IF(AB13="","",W13*Y13*Z13)</f>
        <v>16800</v>
      </c>
      <c r="W13" s="70">
        <v>4</v>
      </c>
      <c r="X13" s="70">
        <f t="shared" si="3"/>
        <v>1960</v>
      </c>
      <c r="Y13" s="70">
        <f>IF(OR(B13="",AG13="",AG13=0),"",AA13+AB13+AD13*AG13+AH13*(AD13+AF13))</f>
        <v>2100</v>
      </c>
      <c r="Z13" s="70">
        <v>2</v>
      </c>
      <c r="AA13" s="70">
        <v>900</v>
      </c>
      <c r="AB13" s="70">
        <v>160</v>
      </c>
      <c r="AC13" s="70">
        <v>120</v>
      </c>
      <c r="AD13" s="70">
        <v>7</v>
      </c>
      <c r="AE13" s="70">
        <v>60</v>
      </c>
      <c r="AF13" s="70">
        <v>1</v>
      </c>
      <c r="AG13" s="70">
        <v>80</v>
      </c>
      <c r="AH13" s="70">
        <v>60</v>
      </c>
    </row>
    <row r="14" spans="1:34" ht="14">
      <c r="A14" s="94"/>
      <c r="B14" s="27"/>
      <c r="C14" s="69"/>
      <c r="D14" s="69"/>
      <c r="E14" s="69"/>
      <c r="F14" s="69"/>
      <c r="G14" s="69"/>
      <c r="H14" s="69" t="str">
        <f t="shared" si="0"/>
        <v/>
      </c>
      <c r="I14" s="69"/>
      <c r="J14" s="69"/>
      <c r="K14" s="96"/>
      <c r="L14" s="96"/>
      <c r="M14" s="97"/>
      <c r="N14" s="97"/>
      <c r="O14" s="97"/>
      <c r="P14" s="97"/>
      <c r="Q14" s="97"/>
      <c r="R14" s="97"/>
      <c r="S14" s="97"/>
      <c r="T14" s="97"/>
      <c r="U14" s="97"/>
      <c r="Z14" s="26"/>
      <c r="AA14" s="26"/>
      <c r="AB14" s="26"/>
      <c r="AC14" s="26"/>
      <c r="AD14" s="26"/>
      <c r="AE14" s="26"/>
      <c r="AF14" s="26"/>
      <c r="AG14" s="26"/>
      <c r="AH14" s="26"/>
    </row>
    <row r="15" spans="1:34" ht="14">
      <c r="A15" s="94"/>
      <c r="B15" s="26"/>
      <c r="C15" s="26"/>
      <c r="D15" s="26"/>
      <c r="E15" s="26"/>
      <c r="F15" s="26"/>
      <c r="G15" s="26"/>
      <c r="H15" s="69" t="str">
        <f t="shared" si="0"/>
        <v/>
      </c>
      <c r="I15" s="69" t="str">
        <f>IF(B15="","",H15-J15)</f>
        <v/>
      </c>
      <c r="J15" s="26"/>
      <c r="K15" s="96"/>
      <c r="L15" s="96"/>
      <c r="M15" s="97"/>
      <c r="N15" s="97"/>
      <c r="O15" s="97"/>
      <c r="P15" s="97"/>
      <c r="Q15" s="97"/>
      <c r="R15" s="97"/>
      <c r="S15" s="97"/>
      <c r="T15" s="97"/>
      <c r="U15" s="97"/>
      <c r="V15" s="70" t="str">
        <f>IF(AB15="","",W15*Y15*Z15)</f>
        <v/>
      </c>
      <c r="W15" s="26"/>
      <c r="X15" s="70" t="str">
        <f>IF(B15="","",AD15*AC15+AF15*AE15+AA15+AB15)</f>
        <v/>
      </c>
      <c r="Y15" s="70" t="str">
        <f>IF(OR(B15="",AG15="",AG15=0),"",AA15+AB15+AD15*AG15+AH15*(AD15+AF15))</f>
        <v/>
      </c>
      <c r="Z15" s="26"/>
      <c r="AA15" s="26"/>
      <c r="AB15" s="26"/>
      <c r="AC15" s="26"/>
      <c r="AD15" s="26"/>
      <c r="AE15" s="26"/>
      <c r="AF15" s="26"/>
      <c r="AG15" s="26"/>
      <c r="AH15" s="26"/>
    </row>
    <row r="16" spans="1:34" ht="68.75" customHeight="1">
      <c r="A16" s="94" t="s">
        <v>94</v>
      </c>
      <c r="B16" s="28" t="s">
        <v>136</v>
      </c>
      <c r="C16" s="29">
        <v>29.5</v>
      </c>
      <c r="D16" s="30">
        <f>2*8*7</f>
        <v>112</v>
      </c>
      <c r="E16" s="31">
        <f>IF(OR(D16="",D16=0),"",D16*$X$1)</f>
        <v>7.8400000000000007</v>
      </c>
      <c r="F16" s="31">
        <f>IF(OR(D16="",D16=0),"",D16*$Z$1)</f>
        <v>6.7200000000000006</v>
      </c>
      <c r="G16" s="31">
        <f>IF(OR(D16="",D16=0),"",F16+E16)</f>
        <v>14.560000000000002</v>
      </c>
      <c r="H16" s="69">
        <f>IF(C16="","",C16)</f>
        <v>29.5</v>
      </c>
      <c r="I16" s="69">
        <f>IF(C16="","",IF(J16="",H16,H16-J16))</f>
        <v>14.939999999999998</v>
      </c>
      <c r="J16" s="69">
        <f>IF(OR(D16="",D16=0),"",G16)</f>
        <v>14.560000000000002</v>
      </c>
      <c r="K16" s="96"/>
      <c r="L16" s="96"/>
      <c r="M16" s="97"/>
      <c r="N16" s="97"/>
      <c r="O16" s="97"/>
      <c r="P16" s="101"/>
      <c r="Q16" s="101"/>
      <c r="R16" s="96"/>
      <c r="S16" s="96"/>
      <c r="T16" s="96"/>
      <c r="U16" s="96"/>
      <c r="V16" s="70">
        <f>IF(AB16="","",W16*Y16*Z16)</f>
        <v>29400</v>
      </c>
      <c r="W16" s="70">
        <v>7</v>
      </c>
      <c r="X16" s="70">
        <f>IF(B16="","",AD16*AC16+AF16*AE16+AA16+AB16)</f>
        <v>1960</v>
      </c>
      <c r="Y16" s="70">
        <f>IF(OR(B16="",AG16="",AG16=0),"",AA16+AB16+AD16*AG16+AH16*(AD16+AF16))</f>
        <v>2100</v>
      </c>
      <c r="Z16" s="70">
        <v>2</v>
      </c>
      <c r="AA16" s="70">
        <v>900</v>
      </c>
      <c r="AB16" s="70">
        <v>160</v>
      </c>
      <c r="AC16" s="70">
        <v>120</v>
      </c>
      <c r="AD16" s="70">
        <v>7</v>
      </c>
      <c r="AE16" s="70">
        <v>60</v>
      </c>
      <c r="AF16" s="70">
        <v>1</v>
      </c>
      <c r="AG16" s="70">
        <v>80</v>
      </c>
      <c r="AH16" s="70">
        <v>60</v>
      </c>
    </row>
    <row r="17" spans="1:34" ht="238">
      <c r="A17" s="94"/>
      <c r="B17" s="27" t="s">
        <v>95</v>
      </c>
      <c r="C17" s="29">
        <v>38</v>
      </c>
      <c r="D17" s="30">
        <f>2*8*9</f>
        <v>144</v>
      </c>
      <c r="E17" s="31">
        <f>IF(OR(D17="",D17=0),"",D17*$X$1)</f>
        <v>10.080000000000002</v>
      </c>
      <c r="F17" s="31">
        <f>IF(OR(D17="",D17=0),"",D17*$Z$1)</f>
        <v>8.64</v>
      </c>
      <c r="G17" s="31">
        <f>IF(OR(D17="",D17=0),"",F17+E17)</f>
        <v>18.720000000000002</v>
      </c>
      <c r="H17" s="69">
        <f>IF(C17="","",C17)</f>
        <v>38</v>
      </c>
      <c r="I17" s="69">
        <f>IF(C17="","",IF(J17="",H17,H17-J17))</f>
        <v>19.279999999999998</v>
      </c>
      <c r="J17" s="69">
        <f>IF(OR(D17="",D17=0),"",G17)</f>
        <v>18.720000000000002</v>
      </c>
      <c r="K17" s="96"/>
      <c r="L17" s="96"/>
      <c r="M17" s="97"/>
      <c r="N17" s="97"/>
      <c r="O17" s="97"/>
      <c r="P17" s="97"/>
      <c r="Q17" s="97"/>
      <c r="R17" s="97"/>
      <c r="S17" s="97"/>
      <c r="T17" s="97"/>
      <c r="U17" s="97"/>
      <c r="V17" s="70">
        <f>IF(AB17="","",W17*Y17*Z17)</f>
        <v>37800</v>
      </c>
      <c r="W17" s="70">
        <v>9</v>
      </c>
      <c r="X17" s="70">
        <f>IF(B17="","",AD17*AC17+AF17*AE17+AA17+AB17)</f>
        <v>1960</v>
      </c>
      <c r="Y17" s="70">
        <f>IF(OR(B17="",AG17="",AG17=0),"",AA17+AB17+AD17*AG17+AH17*(AD17+AF17))</f>
        <v>2100</v>
      </c>
      <c r="Z17" s="70">
        <v>2</v>
      </c>
      <c r="AA17" s="70">
        <v>900</v>
      </c>
      <c r="AB17" s="70">
        <v>160</v>
      </c>
      <c r="AC17" s="70">
        <v>120</v>
      </c>
      <c r="AD17" s="70">
        <v>7</v>
      </c>
      <c r="AE17" s="70">
        <v>60</v>
      </c>
      <c r="AF17" s="70">
        <v>1</v>
      </c>
      <c r="AG17" s="70">
        <v>80</v>
      </c>
      <c r="AH17" s="70">
        <v>60</v>
      </c>
    </row>
    <row r="18" spans="1:34" ht="14">
      <c r="A18" s="94"/>
      <c r="B18" s="27"/>
      <c r="C18" s="29"/>
      <c r="D18" s="30"/>
      <c r="E18" s="31" t="str">
        <f>IF(OR(D18="",D18=0),"",D18*$X$1)</f>
        <v/>
      </c>
      <c r="F18" s="31" t="str">
        <f>IF(OR(D18="",D18=0),"",D18*$Z$1)</f>
        <v/>
      </c>
      <c r="G18" s="31" t="str">
        <f>IF(OR(D18="",D18=0),"",F18+E18)</f>
        <v/>
      </c>
      <c r="H18" s="69" t="str">
        <f>IF(C18="","",C18)</f>
        <v/>
      </c>
      <c r="I18" s="69" t="str">
        <f>IF(C18="","",IF(J18="",H18,H18-J18))</f>
        <v/>
      </c>
      <c r="J18" s="69" t="str">
        <f>IF(OR(D18="",D18=0),"",G18)</f>
        <v/>
      </c>
      <c r="K18" s="96"/>
      <c r="L18" s="96"/>
      <c r="M18" s="97"/>
      <c r="N18" s="97"/>
      <c r="O18" s="97"/>
      <c r="P18" s="97"/>
      <c r="Q18" s="97"/>
      <c r="R18" s="97"/>
      <c r="S18" s="97"/>
      <c r="T18" s="97"/>
      <c r="U18" s="97"/>
      <c r="V18" s="70" t="str">
        <f>IF(AB18="","",W18*Y18*Z18)</f>
        <v/>
      </c>
      <c r="W18" s="26"/>
      <c r="X18" s="70" t="str">
        <f>IF(B18="","",AD18*AC18+AF18*AE18+AA18+AB18)</f>
        <v/>
      </c>
      <c r="Y18" s="70" t="str">
        <f>IF(OR(B18="",AG18="",AG18=0),"",AA18+AB18+AD18*AG18+AH18*(AD18+AF18))</f>
        <v/>
      </c>
      <c r="Z18" s="26"/>
      <c r="AA18" s="26"/>
      <c r="AB18" s="26"/>
      <c r="AC18" s="26"/>
      <c r="AD18" s="26"/>
      <c r="AE18" s="26"/>
      <c r="AF18" s="26"/>
      <c r="AG18" s="26"/>
      <c r="AH18" s="26"/>
    </row>
    <row r="19" spans="1:34" ht="112">
      <c r="A19" s="94"/>
      <c r="B19" s="27" t="s">
        <v>96</v>
      </c>
      <c r="C19" s="29">
        <v>16.5</v>
      </c>
      <c r="D19" s="30">
        <f>7*11*1</f>
        <v>77</v>
      </c>
      <c r="E19" s="31">
        <f>IF(OR(D19="",D19=0),"",D19*$X$1)</f>
        <v>5.3900000000000006</v>
      </c>
      <c r="F19" s="31">
        <f>IF(OR(D19="",D19=0),"",D19*$Z$1)</f>
        <v>4.62</v>
      </c>
      <c r="G19" s="31">
        <f>IF(OR(D19="",D19=0),"",F19+E19)</f>
        <v>10.010000000000002</v>
      </c>
      <c r="H19" s="69">
        <f>IF(C19="","",C19)</f>
        <v>16.5</v>
      </c>
      <c r="I19" s="69">
        <f>IF(C19="","",IF(J19="",H19,H19-J19))</f>
        <v>6.4899999999999984</v>
      </c>
      <c r="J19" s="69">
        <f>IF(OR(D19="",D19=0),"",G19)</f>
        <v>10.010000000000002</v>
      </c>
      <c r="K19" s="96"/>
      <c r="L19" s="96"/>
      <c r="M19" s="97"/>
      <c r="N19" s="97"/>
      <c r="O19" s="97"/>
      <c r="P19" s="97"/>
      <c r="Q19" s="97"/>
      <c r="R19" s="97"/>
      <c r="S19" s="97"/>
      <c r="T19" s="97"/>
      <c r="U19" s="97"/>
      <c r="V19" s="70">
        <f>IF(AB19="","",W19*Y19*Z19)</f>
        <v>16520</v>
      </c>
      <c r="W19" s="70">
        <v>1</v>
      </c>
      <c r="X19" s="70">
        <f>IF(B19="","",AD19*AC19+AF19*AE19+AA19+AB19)</f>
        <v>2160</v>
      </c>
      <c r="Y19" s="70">
        <f>IF(OR(B19="",AG19="",AG19=0),"",AA19+AB19+AD19*AG19+AH19*(AD19+AF19))</f>
        <v>2360</v>
      </c>
      <c r="Z19" s="70">
        <v>7</v>
      </c>
      <c r="AA19" s="70">
        <v>900</v>
      </c>
      <c r="AB19" s="70">
        <v>0</v>
      </c>
      <c r="AC19" s="70">
        <v>120</v>
      </c>
      <c r="AD19" s="70">
        <v>10</v>
      </c>
      <c r="AE19" s="70">
        <v>60</v>
      </c>
      <c r="AF19" s="70">
        <v>1</v>
      </c>
      <c r="AG19" s="70">
        <v>80</v>
      </c>
      <c r="AH19" s="70">
        <v>60</v>
      </c>
    </row>
    <row r="20" spans="1:34">
      <c r="A20" s="94"/>
      <c r="B20" s="27"/>
      <c r="C20" s="29"/>
      <c r="D20" s="30"/>
      <c r="E20" s="31"/>
      <c r="F20" s="31"/>
      <c r="G20" s="31"/>
      <c r="H20" s="69"/>
      <c r="I20" s="69"/>
      <c r="J20" s="69"/>
      <c r="K20" s="96"/>
      <c r="L20" s="96"/>
      <c r="M20" s="97"/>
      <c r="N20" s="97"/>
      <c r="O20" s="97"/>
      <c r="P20" s="97"/>
      <c r="Q20" s="97"/>
      <c r="R20" s="97"/>
      <c r="S20" s="97"/>
      <c r="T20" s="97"/>
      <c r="U20" s="97"/>
      <c r="V20" s="26"/>
      <c r="W20" s="26"/>
      <c r="X20" s="26"/>
      <c r="Z20" s="26"/>
      <c r="AA20" s="26"/>
      <c r="AB20" s="26"/>
      <c r="AC20" s="26"/>
      <c r="AD20" s="26"/>
      <c r="AE20" s="26"/>
      <c r="AF20" s="26"/>
      <c r="AG20" s="26"/>
      <c r="AH20" s="26"/>
    </row>
    <row r="21" spans="1:34" ht="154">
      <c r="A21" s="94"/>
      <c r="B21" s="72" t="s">
        <v>80</v>
      </c>
      <c r="C21" s="29">
        <v>49</v>
      </c>
      <c r="D21" s="30">
        <f>4*16*4</f>
        <v>256</v>
      </c>
      <c r="E21" s="31">
        <f>IF(OR(D21="",D21=0),"",D21*$X$1)</f>
        <v>17.920000000000002</v>
      </c>
      <c r="F21" s="31">
        <f>IF(OR(D21="",D21=0),"",D21*$Z$1)</f>
        <v>15.360000000000001</v>
      </c>
      <c r="G21" s="31">
        <f>IF(OR(D21="",D21=0),"",F21+E21)</f>
        <v>33.28</v>
      </c>
      <c r="H21" s="69">
        <f>IF(C21="","",C21)</f>
        <v>49</v>
      </c>
      <c r="I21" s="69">
        <f>IF(C21="","",IF(J21="",H21,H21-J21))</f>
        <v>15.719999999999999</v>
      </c>
      <c r="J21" s="69">
        <f>IF(OR(D21="",D21=0),"",G21)</f>
        <v>33.28</v>
      </c>
      <c r="K21" s="96"/>
      <c r="L21" s="96"/>
      <c r="M21" s="97"/>
      <c r="N21" s="97"/>
      <c r="O21" s="97"/>
      <c r="P21" s="97"/>
      <c r="Q21" s="97"/>
      <c r="R21" s="97"/>
      <c r="S21" s="97"/>
      <c r="T21" s="97"/>
      <c r="U21" s="97"/>
      <c r="V21" s="70">
        <f>IF(AB21="","",W21*Y21*Z21)</f>
        <v>48960</v>
      </c>
      <c r="W21" s="70">
        <v>4</v>
      </c>
      <c r="X21" s="70">
        <f>IF(B21="","",AD21*AC21+AF21*AE21+AA21+AB21)</f>
        <v>2760</v>
      </c>
      <c r="Y21" s="70">
        <f>IF(OR(B21="",AG21="",AG21=0),"",AA21+AB21+AD21*AG21+AH21*(AD21+AF21))</f>
        <v>3060</v>
      </c>
      <c r="Z21" s="70">
        <v>4</v>
      </c>
      <c r="AA21" s="70">
        <v>900</v>
      </c>
      <c r="AB21" s="70">
        <v>0</v>
      </c>
      <c r="AC21" s="70">
        <v>120</v>
      </c>
      <c r="AD21" s="70">
        <v>15</v>
      </c>
      <c r="AE21" s="70">
        <v>60</v>
      </c>
      <c r="AF21" s="70">
        <v>1</v>
      </c>
      <c r="AG21" s="70">
        <v>80</v>
      </c>
      <c r="AH21" s="70">
        <v>60</v>
      </c>
    </row>
    <row r="22" spans="1:34" ht="112">
      <c r="A22" s="94"/>
      <c r="B22" s="27" t="s">
        <v>81</v>
      </c>
      <c r="C22" s="29">
        <v>49</v>
      </c>
      <c r="D22" s="30">
        <f>4*16*4</f>
        <v>256</v>
      </c>
      <c r="E22" s="31">
        <f>IF(OR(D22="",D22=0),"",D22*$X$1)</f>
        <v>17.920000000000002</v>
      </c>
      <c r="F22" s="31">
        <f>IF(OR(D22="",D22=0),"",D22*$Z$1)</f>
        <v>15.360000000000001</v>
      </c>
      <c r="G22" s="31">
        <f>IF(OR(D22="",D22=0),"",F22+E22)</f>
        <v>33.28</v>
      </c>
      <c r="H22" s="69">
        <f>IF(C22="","",C22)</f>
        <v>49</v>
      </c>
      <c r="I22" s="69">
        <f>IF(C22="","",IF(J22="",H22,H22-J22))</f>
        <v>15.719999999999999</v>
      </c>
      <c r="J22" s="69">
        <f>IF(OR(D22="",D22=0),"",G22)</f>
        <v>33.28</v>
      </c>
      <c r="K22" s="96"/>
      <c r="L22" s="96"/>
      <c r="M22" s="97"/>
      <c r="N22" s="97"/>
      <c r="O22" s="97"/>
      <c r="P22" s="97"/>
      <c r="Q22" s="97"/>
      <c r="R22" s="97"/>
      <c r="S22" s="97"/>
      <c r="T22" s="97"/>
      <c r="U22" s="97"/>
      <c r="V22" s="70">
        <f>IF(AB22="","",W22*Y22*Z22)</f>
        <v>48960</v>
      </c>
      <c r="W22" s="70">
        <v>4</v>
      </c>
      <c r="X22" s="70">
        <f>IF(B22="","",AD22*AC22+AF22*AE22+AA22+AB22)</f>
        <v>2760</v>
      </c>
      <c r="Y22" s="70">
        <f>IF(OR(B22="",AG22="",AG22=0),"",AA22+AB22+AD22*AG22+AH22*(AD22+AF22))</f>
        <v>3060</v>
      </c>
      <c r="Z22" s="70">
        <v>4</v>
      </c>
      <c r="AA22" s="70">
        <v>900</v>
      </c>
      <c r="AB22" s="70">
        <v>0</v>
      </c>
      <c r="AC22" s="70">
        <v>120</v>
      </c>
      <c r="AD22" s="70">
        <v>15</v>
      </c>
      <c r="AE22" s="70">
        <v>60</v>
      </c>
      <c r="AF22" s="70">
        <v>1</v>
      </c>
      <c r="AG22" s="70">
        <v>80</v>
      </c>
      <c r="AH22" s="70">
        <v>60</v>
      </c>
    </row>
    <row r="23" spans="1:34" ht="140">
      <c r="A23" s="94"/>
      <c r="B23" s="27" t="s">
        <v>79</v>
      </c>
      <c r="C23" s="29">
        <v>24.5</v>
      </c>
      <c r="D23" s="30">
        <f>2*16*4</f>
        <v>128</v>
      </c>
      <c r="E23" s="31">
        <f>IF(OR(D23="",D23=0),"",D23*$X$1)</f>
        <v>8.9600000000000009</v>
      </c>
      <c r="F23" s="31">
        <f>IF(OR(D23="",D23=0),"",D23*$Z$1)</f>
        <v>7.6800000000000006</v>
      </c>
      <c r="G23" s="31">
        <f>IF(OR(D23="",D23=0),"",F23+E23)</f>
        <v>16.64</v>
      </c>
      <c r="H23" s="69">
        <f>IF(C23="","",C23)</f>
        <v>24.5</v>
      </c>
      <c r="I23" s="69">
        <f>IF(C23="","",IF(J23="",H23,H23-J23))</f>
        <v>7.8599999999999994</v>
      </c>
      <c r="J23" s="69">
        <f>IF(OR(D23="",D23=0),"",G23)</f>
        <v>16.64</v>
      </c>
      <c r="K23" s="96"/>
      <c r="L23" s="96"/>
      <c r="M23" s="97"/>
      <c r="N23" s="97"/>
      <c r="O23" s="97"/>
      <c r="P23" s="97"/>
      <c r="Q23" s="97"/>
      <c r="R23" s="97"/>
      <c r="S23" s="97"/>
      <c r="T23" s="97"/>
      <c r="U23" s="97"/>
      <c r="V23" s="70">
        <f>IF(AB23="","",W23*Y23*Z23)</f>
        <v>24480</v>
      </c>
      <c r="W23" s="70">
        <v>2</v>
      </c>
      <c r="X23" s="70">
        <f>IF(B23="","",AD23*AC23+AF23*AE23+AA23+AB23)</f>
        <v>2760</v>
      </c>
      <c r="Y23" s="70">
        <f>IF(OR(B23="",AG23="",AG23=0),"",AA23+AB23+AD23*AG23+AH23*(AD23+AF23))</f>
        <v>3060</v>
      </c>
      <c r="Z23" s="70">
        <v>4</v>
      </c>
      <c r="AA23" s="70">
        <v>900</v>
      </c>
      <c r="AB23" s="70">
        <v>0</v>
      </c>
      <c r="AC23" s="70">
        <v>120</v>
      </c>
      <c r="AD23" s="70">
        <v>15</v>
      </c>
      <c r="AE23" s="70">
        <v>60</v>
      </c>
      <c r="AF23" s="70">
        <v>1</v>
      </c>
      <c r="AG23" s="70">
        <v>80</v>
      </c>
      <c r="AH23" s="70">
        <v>60</v>
      </c>
    </row>
    <row r="24" spans="1:34">
      <c r="A24" s="94"/>
      <c r="B24" s="27"/>
      <c r="C24" s="29"/>
      <c r="D24" s="30"/>
      <c r="E24" s="31"/>
      <c r="F24" s="31"/>
      <c r="G24" s="31"/>
      <c r="H24" s="69"/>
      <c r="I24" s="69"/>
      <c r="J24" s="69"/>
      <c r="K24" s="96"/>
      <c r="L24" s="96"/>
      <c r="M24" s="97"/>
      <c r="N24" s="97"/>
      <c r="O24" s="97"/>
      <c r="P24" s="97"/>
      <c r="Q24" s="97"/>
      <c r="R24" s="97"/>
      <c r="S24" s="97"/>
      <c r="T24" s="97"/>
      <c r="U24" s="97"/>
      <c r="V24" s="26"/>
      <c r="W24" s="26"/>
      <c r="X24" s="26"/>
      <c r="Z24" s="26"/>
      <c r="AA24" s="26"/>
      <c r="AB24" s="26"/>
      <c r="AC24" s="26"/>
      <c r="AD24" s="26"/>
      <c r="AE24" s="26"/>
      <c r="AF24" s="26"/>
      <c r="AG24" s="26"/>
      <c r="AH24" s="26"/>
    </row>
    <row r="25" spans="1:34" ht="14">
      <c r="A25" s="94"/>
      <c r="B25" s="27"/>
      <c r="C25" s="29"/>
      <c r="D25" s="30"/>
      <c r="E25" s="31" t="str">
        <f t="shared" ref="E25:E37" si="4">IF(OR(D25="",D25=0),"",D25*$X$1)</f>
        <v/>
      </c>
      <c r="F25" s="31" t="str">
        <f t="shared" ref="F25:F37" si="5">IF(OR(D25="",D25=0),"",D25*$Z$1)</f>
        <v/>
      </c>
      <c r="G25" s="31" t="str">
        <f t="shared" ref="G25:G37" si="6">IF(OR(D25="",D25=0),"",F25+E25)</f>
        <v/>
      </c>
      <c r="H25" s="69" t="str">
        <f t="shared" ref="H25:H37" si="7">IF(C25="","",C25)</f>
        <v/>
      </c>
      <c r="I25" s="69" t="str">
        <f t="shared" ref="I25:I37" si="8">IF(C25="","",IF(J25="",H25,H25-J25))</f>
        <v/>
      </c>
      <c r="J25" s="69" t="str">
        <f t="shared" ref="J25:J37" si="9">IF(OR(D25="",D25=0),"",G25)</f>
        <v/>
      </c>
      <c r="K25" s="96"/>
      <c r="L25" s="96"/>
      <c r="M25" s="97"/>
      <c r="N25" s="97"/>
      <c r="O25" s="97"/>
      <c r="P25" s="97"/>
      <c r="Q25" s="97"/>
      <c r="R25" s="97"/>
      <c r="S25" s="97"/>
      <c r="T25" s="97"/>
      <c r="U25" s="97"/>
      <c r="V25" s="70" t="str">
        <f t="shared" ref="V25:V37" si="10">IF(AB25="","",W25*Y25*Z25)</f>
        <v/>
      </c>
      <c r="W25" s="26"/>
      <c r="X25" s="70" t="str">
        <f t="shared" ref="X25:X37" si="11">IF(B25="","",AD25*AC25+AF25*AE25+AA25+AB25)</f>
        <v/>
      </c>
      <c r="Y25" s="70" t="str">
        <f t="shared" ref="Y25:Y37" si="12">IF(OR(B25="",AG25="",AG25=0),"",AA25+AB25+AD25*AG25+AH25*(AD25+AF25))</f>
        <v/>
      </c>
      <c r="Z25" s="26"/>
      <c r="AA25" s="26"/>
      <c r="AB25" s="26"/>
      <c r="AC25" s="26"/>
      <c r="AD25" s="26"/>
      <c r="AE25" s="26"/>
      <c r="AF25" s="26"/>
      <c r="AG25" s="26"/>
      <c r="AH25" s="26"/>
    </row>
    <row r="26" spans="1:34" ht="280">
      <c r="A26" s="94"/>
      <c r="B26" s="27" t="s">
        <v>97</v>
      </c>
      <c r="C26" s="29">
        <v>24.5</v>
      </c>
      <c r="D26" s="30">
        <f>8*16*1</f>
        <v>128</v>
      </c>
      <c r="E26" s="31">
        <f t="shared" si="4"/>
        <v>8.9600000000000009</v>
      </c>
      <c r="F26" s="31">
        <f t="shared" si="5"/>
        <v>7.6800000000000006</v>
      </c>
      <c r="G26" s="31">
        <f t="shared" si="6"/>
        <v>16.64</v>
      </c>
      <c r="H26" s="69">
        <f t="shared" si="7"/>
        <v>24.5</v>
      </c>
      <c r="I26" s="69">
        <f t="shared" si="8"/>
        <v>7.8599999999999994</v>
      </c>
      <c r="J26" s="69">
        <f t="shared" si="9"/>
        <v>16.64</v>
      </c>
      <c r="K26" s="96"/>
      <c r="L26" s="96"/>
      <c r="M26" s="97"/>
      <c r="N26" s="97"/>
      <c r="O26" s="97"/>
      <c r="P26" s="97"/>
      <c r="Q26" s="97"/>
      <c r="R26" s="97"/>
      <c r="S26" s="97"/>
      <c r="T26" s="97"/>
      <c r="U26" s="97"/>
      <c r="V26" s="70">
        <f t="shared" si="10"/>
        <v>24480</v>
      </c>
      <c r="W26" s="70">
        <v>1</v>
      </c>
      <c r="X26" s="70">
        <f t="shared" si="11"/>
        <v>2760</v>
      </c>
      <c r="Y26" s="70">
        <f t="shared" si="12"/>
        <v>3060</v>
      </c>
      <c r="Z26" s="70">
        <v>8</v>
      </c>
      <c r="AA26" s="70">
        <v>900</v>
      </c>
      <c r="AB26" s="70">
        <v>0</v>
      </c>
      <c r="AC26" s="70">
        <v>120</v>
      </c>
      <c r="AD26" s="70">
        <v>15</v>
      </c>
      <c r="AE26" s="70">
        <v>60</v>
      </c>
      <c r="AF26" s="70">
        <v>1</v>
      </c>
      <c r="AG26" s="70">
        <v>80</v>
      </c>
      <c r="AH26" s="70">
        <v>60</v>
      </c>
    </row>
    <row r="27" spans="1:34" ht="182">
      <c r="A27" s="94"/>
      <c r="B27" s="72" t="s">
        <v>98</v>
      </c>
      <c r="C27" s="29">
        <v>3</v>
      </c>
      <c r="D27" s="30">
        <f>2*5*1</f>
        <v>10</v>
      </c>
      <c r="E27" s="31">
        <f t="shared" si="4"/>
        <v>0.70000000000000007</v>
      </c>
      <c r="F27" s="31">
        <f t="shared" si="5"/>
        <v>0.60000000000000009</v>
      </c>
      <c r="G27" s="31">
        <f t="shared" si="6"/>
        <v>1.3000000000000003</v>
      </c>
      <c r="H27" s="69">
        <f t="shared" si="7"/>
        <v>3</v>
      </c>
      <c r="I27" s="69">
        <f t="shared" si="8"/>
        <v>1.6999999999999997</v>
      </c>
      <c r="J27" s="69">
        <f t="shared" si="9"/>
        <v>1.3000000000000003</v>
      </c>
      <c r="K27" s="96"/>
      <c r="L27" s="96"/>
      <c r="M27" s="96"/>
      <c r="N27" s="96"/>
      <c r="O27" s="96"/>
      <c r="P27" s="96"/>
      <c r="Q27" s="96"/>
      <c r="R27" s="96"/>
      <c r="S27" s="96"/>
      <c r="T27" s="96"/>
      <c r="U27" s="96"/>
      <c r="V27" s="70">
        <f t="shared" si="10"/>
        <v>3040</v>
      </c>
      <c r="W27" s="70">
        <v>1</v>
      </c>
      <c r="X27" s="70">
        <f t="shared" si="11"/>
        <v>1440</v>
      </c>
      <c r="Y27" s="70">
        <f t="shared" si="12"/>
        <v>1520</v>
      </c>
      <c r="Z27" s="70">
        <v>2</v>
      </c>
      <c r="AA27" s="70">
        <v>900</v>
      </c>
      <c r="AB27" s="70">
        <v>0</v>
      </c>
      <c r="AC27" s="70">
        <v>120</v>
      </c>
      <c r="AD27" s="70">
        <v>4</v>
      </c>
      <c r="AE27" s="70">
        <v>60</v>
      </c>
      <c r="AF27" s="70">
        <v>1</v>
      </c>
      <c r="AG27" s="70">
        <v>80</v>
      </c>
      <c r="AH27" s="70">
        <v>60</v>
      </c>
    </row>
    <row r="28" spans="1:34" ht="332">
      <c r="A28" s="94"/>
      <c r="B28" s="72" t="s">
        <v>99</v>
      </c>
      <c r="C28" s="29">
        <v>6</v>
      </c>
      <c r="D28" s="30">
        <f>2*16*1</f>
        <v>32</v>
      </c>
      <c r="E28" s="31">
        <f t="shared" si="4"/>
        <v>2.2400000000000002</v>
      </c>
      <c r="F28" s="31">
        <f t="shared" si="5"/>
        <v>1.9200000000000002</v>
      </c>
      <c r="G28" s="31">
        <f t="shared" si="6"/>
        <v>4.16</v>
      </c>
      <c r="H28" s="69">
        <f t="shared" si="7"/>
        <v>6</v>
      </c>
      <c r="I28" s="69">
        <f t="shared" si="8"/>
        <v>1.8399999999999999</v>
      </c>
      <c r="J28" s="69">
        <f t="shared" si="9"/>
        <v>4.16</v>
      </c>
      <c r="K28" s="96"/>
      <c r="L28" s="96"/>
      <c r="M28" s="97"/>
      <c r="N28" s="97"/>
      <c r="O28" s="97"/>
      <c r="P28" s="97"/>
      <c r="Q28" s="97"/>
      <c r="R28" s="97"/>
      <c r="S28" s="97"/>
      <c r="T28" s="97"/>
      <c r="U28" s="97"/>
      <c r="V28" s="70">
        <f t="shared" si="10"/>
        <v>6120</v>
      </c>
      <c r="W28" s="70">
        <v>1</v>
      </c>
      <c r="X28" s="70">
        <f t="shared" si="11"/>
        <v>2760</v>
      </c>
      <c r="Y28" s="70">
        <f t="shared" si="12"/>
        <v>3060</v>
      </c>
      <c r="Z28" s="70">
        <v>2</v>
      </c>
      <c r="AA28" s="70">
        <v>900</v>
      </c>
      <c r="AB28" s="70">
        <v>0</v>
      </c>
      <c r="AC28" s="70">
        <v>120</v>
      </c>
      <c r="AD28" s="70">
        <v>15</v>
      </c>
      <c r="AE28" s="70">
        <v>60</v>
      </c>
      <c r="AF28" s="70">
        <v>1</v>
      </c>
      <c r="AG28" s="70">
        <v>80</v>
      </c>
      <c r="AH28" s="70">
        <v>60</v>
      </c>
    </row>
    <row r="29" spans="1:34" ht="14">
      <c r="A29" s="94"/>
      <c r="B29" s="27"/>
      <c r="C29" s="29"/>
      <c r="D29" s="30"/>
      <c r="E29" s="31" t="str">
        <f t="shared" si="4"/>
        <v/>
      </c>
      <c r="F29" s="31" t="str">
        <f t="shared" si="5"/>
        <v/>
      </c>
      <c r="G29" s="31" t="str">
        <f t="shared" si="6"/>
        <v/>
      </c>
      <c r="H29" s="69" t="str">
        <f t="shared" si="7"/>
        <v/>
      </c>
      <c r="I29" s="69" t="str">
        <f t="shared" si="8"/>
        <v/>
      </c>
      <c r="J29" s="69" t="str">
        <f t="shared" si="9"/>
        <v/>
      </c>
      <c r="K29" s="96"/>
      <c r="L29" s="96"/>
      <c r="M29" s="97"/>
      <c r="N29" s="97"/>
      <c r="O29" s="97"/>
      <c r="P29" s="97"/>
      <c r="Q29" s="97"/>
      <c r="R29" s="97"/>
      <c r="S29" s="97"/>
      <c r="T29" s="97"/>
      <c r="U29" s="97"/>
      <c r="V29" s="70" t="str">
        <f t="shared" si="10"/>
        <v/>
      </c>
      <c r="W29" s="26"/>
      <c r="X29" s="70" t="str">
        <f t="shared" si="11"/>
        <v/>
      </c>
      <c r="Y29" s="70" t="str">
        <f t="shared" si="12"/>
        <v/>
      </c>
      <c r="Z29" s="26"/>
      <c r="AA29" s="26"/>
      <c r="AB29" s="26"/>
      <c r="AC29" s="26"/>
      <c r="AD29" s="26"/>
      <c r="AE29" s="26"/>
      <c r="AF29" s="26"/>
      <c r="AG29" s="26"/>
      <c r="AH29" s="26"/>
    </row>
    <row r="30" spans="1:34" ht="409.6">
      <c r="A30" s="94"/>
      <c r="B30" s="72" t="s">
        <v>100</v>
      </c>
      <c r="C30" s="29">
        <v>12.5</v>
      </c>
      <c r="D30" s="30">
        <f>4*16*1</f>
        <v>64</v>
      </c>
      <c r="E30" s="31">
        <f t="shared" si="4"/>
        <v>4.4800000000000004</v>
      </c>
      <c r="F30" s="31">
        <f t="shared" si="5"/>
        <v>3.8400000000000003</v>
      </c>
      <c r="G30" s="31">
        <f t="shared" si="6"/>
        <v>8.32</v>
      </c>
      <c r="H30" s="69">
        <f t="shared" si="7"/>
        <v>12.5</v>
      </c>
      <c r="I30" s="69">
        <f t="shared" si="8"/>
        <v>4.18</v>
      </c>
      <c r="J30" s="69">
        <f t="shared" si="9"/>
        <v>8.32</v>
      </c>
      <c r="K30" s="96"/>
      <c r="L30" s="96"/>
      <c r="M30" s="96"/>
      <c r="N30" s="96"/>
      <c r="O30" s="96"/>
      <c r="P30" s="96"/>
      <c r="Q30" s="96"/>
      <c r="R30" s="96"/>
      <c r="S30" s="96"/>
      <c r="T30" s="96"/>
      <c r="U30" s="96"/>
      <c r="V30" s="70">
        <f t="shared" si="10"/>
        <v>12240</v>
      </c>
      <c r="W30" s="70">
        <v>1</v>
      </c>
      <c r="X30" s="70">
        <f t="shared" si="11"/>
        <v>2760</v>
      </c>
      <c r="Y30" s="70">
        <f t="shared" si="12"/>
        <v>3060</v>
      </c>
      <c r="Z30" s="70">
        <v>4</v>
      </c>
      <c r="AA30" s="70">
        <v>900</v>
      </c>
      <c r="AB30" s="70">
        <v>0</v>
      </c>
      <c r="AC30" s="70">
        <v>120</v>
      </c>
      <c r="AD30" s="70">
        <v>15</v>
      </c>
      <c r="AE30" s="70">
        <v>60</v>
      </c>
      <c r="AF30" s="70">
        <v>1</v>
      </c>
      <c r="AG30" s="70">
        <v>80</v>
      </c>
      <c r="AH30" s="70">
        <v>60</v>
      </c>
    </row>
    <row r="31" spans="1:34" ht="14">
      <c r="A31" s="94"/>
      <c r="B31" s="27"/>
      <c r="C31" s="29"/>
      <c r="D31" s="30"/>
      <c r="E31" s="31" t="str">
        <f t="shared" si="4"/>
        <v/>
      </c>
      <c r="F31" s="31" t="str">
        <f t="shared" si="5"/>
        <v/>
      </c>
      <c r="G31" s="31" t="str">
        <f t="shared" si="6"/>
        <v/>
      </c>
      <c r="H31" s="69" t="str">
        <f t="shared" si="7"/>
        <v/>
      </c>
      <c r="I31" s="69" t="str">
        <f t="shared" si="8"/>
        <v/>
      </c>
      <c r="J31" s="69" t="str">
        <f t="shared" si="9"/>
        <v/>
      </c>
      <c r="K31" s="96"/>
      <c r="L31" s="96"/>
      <c r="M31" s="97"/>
      <c r="N31" s="97"/>
      <c r="O31" s="97"/>
      <c r="P31" s="97"/>
      <c r="Q31" s="97"/>
      <c r="R31" s="97"/>
      <c r="S31" s="97"/>
      <c r="T31" s="97"/>
      <c r="U31" s="97"/>
      <c r="V31" s="70" t="str">
        <f t="shared" si="10"/>
        <v/>
      </c>
      <c r="X31" s="70" t="str">
        <f t="shared" si="11"/>
        <v/>
      </c>
      <c r="Y31" s="70" t="str">
        <f t="shared" si="12"/>
        <v/>
      </c>
    </row>
    <row r="32" spans="1:34" ht="14">
      <c r="A32" s="94"/>
      <c r="B32" s="26" t="s">
        <v>101</v>
      </c>
      <c r="C32" s="29">
        <v>35</v>
      </c>
      <c r="D32" s="30">
        <v>40</v>
      </c>
      <c r="E32" s="31">
        <f t="shared" si="4"/>
        <v>2.8000000000000003</v>
      </c>
      <c r="F32" s="31">
        <f t="shared" si="5"/>
        <v>2.4000000000000004</v>
      </c>
      <c r="G32" s="31">
        <f t="shared" si="6"/>
        <v>5.2000000000000011</v>
      </c>
      <c r="H32" s="69">
        <f t="shared" si="7"/>
        <v>35</v>
      </c>
      <c r="I32" s="69">
        <f t="shared" si="8"/>
        <v>29.799999999999997</v>
      </c>
      <c r="J32" s="69">
        <f t="shared" si="9"/>
        <v>5.2000000000000011</v>
      </c>
      <c r="K32" s="96"/>
      <c r="L32" s="96"/>
      <c r="M32" s="97"/>
      <c r="N32" s="97"/>
      <c r="O32" s="97"/>
      <c r="P32" s="97"/>
      <c r="Q32" s="97"/>
      <c r="R32" s="97"/>
      <c r="S32" s="97"/>
      <c r="T32" s="97"/>
      <c r="U32" s="97"/>
      <c r="V32" s="70" t="str">
        <f t="shared" si="10"/>
        <v/>
      </c>
      <c r="X32" s="70">
        <f t="shared" si="11"/>
        <v>0</v>
      </c>
      <c r="Y32" s="70" t="str">
        <f t="shared" si="12"/>
        <v/>
      </c>
    </row>
    <row r="33" spans="1:25" ht="14">
      <c r="A33" s="94"/>
      <c r="C33" s="29"/>
      <c r="D33" s="30"/>
      <c r="E33" s="31" t="str">
        <f t="shared" si="4"/>
        <v/>
      </c>
      <c r="F33" s="31" t="str">
        <f t="shared" si="5"/>
        <v/>
      </c>
      <c r="G33" s="31" t="str">
        <f t="shared" si="6"/>
        <v/>
      </c>
      <c r="H33" s="69" t="str">
        <f t="shared" si="7"/>
        <v/>
      </c>
      <c r="I33" s="69" t="str">
        <f t="shared" si="8"/>
        <v/>
      </c>
      <c r="J33" s="69" t="str">
        <f t="shared" si="9"/>
        <v/>
      </c>
      <c r="K33" s="96"/>
      <c r="L33" s="96"/>
      <c r="M33" s="97"/>
      <c r="N33" s="97"/>
      <c r="O33" s="97"/>
      <c r="P33" s="97"/>
      <c r="Q33" s="97"/>
      <c r="R33" s="97"/>
      <c r="S33" s="97"/>
      <c r="T33" s="97"/>
      <c r="U33" s="97"/>
      <c r="V33" s="70" t="str">
        <f t="shared" si="10"/>
        <v/>
      </c>
      <c r="X33" s="70" t="str">
        <f t="shared" si="11"/>
        <v/>
      </c>
      <c r="Y33" s="70" t="str">
        <f t="shared" si="12"/>
        <v/>
      </c>
    </row>
    <row r="34" spans="1:25" ht="14">
      <c r="A34" s="94"/>
      <c r="B34" s="26" t="s">
        <v>102</v>
      </c>
      <c r="C34" s="29">
        <v>33</v>
      </c>
      <c r="D34" s="30"/>
      <c r="E34" s="31" t="str">
        <f t="shared" si="4"/>
        <v/>
      </c>
      <c r="F34" s="31" t="str">
        <f t="shared" si="5"/>
        <v/>
      </c>
      <c r="G34" s="31" t="str">
        <f t="shared" si="6"/>
        <v/>
      </c>
      <c r="H34" s="69">
        <f t="shared" si="7"/>
        <v>33</v>
      </c>
      <c r="I34" s="69">
        <f t="shared" si="8"/>
        <v>33</v>
      </c>
      <c r="J34" s="69" t="str">
        <f t="shared" si="9"/>
        <v/>
      </c>
      <c r="K34" s="96"/>
      <c r="L34" s="96"/>
      <c r="M34" s="97"/>
      <c r="N34" s="97"/>
      <c r="O34" s="97"/>
      <c r="P34" s="97"/>
      <c r="Q34" s="97"/>
      <c r="R34" s="97"/>
      <c r="S34" s="97"/>
      <c r="T34" s="97"/>
      <c r="U34" s="97"/>
      <c r="V34" s="70" t="str">
        <f t="shared" si="10"/>
        <v/>
      </c>
      <c r="X34" s="70">
        <f t="shared" si="11"/>
        <v>0</v>
      </c>
      <c r="Y34" s="70" t="str">
        <f t="shared" si="12"/>
        <v/>
      </c>
    </row>
    <row r="35" spans="1:25" ht="14">
      <c r="A35" s="94"/>
      <c r="B35" s="27"/>
      <c r="C35" s="29"/>
      <c r="D35" s="30"/>
      <c r="E35" s="31" t="str">
        <f t="shared" si="4"/>
        <v/>
      </c>
      <c r="F35" s="31" t="str">
        <f t="shared" si="5"/>
        <v/>
      </c>
      <c r="G35" s="31" t="str">
        <f t="shared" si="6"/>
        <v/>
      </c>
      <c r="H35" s="69" t="str">
        <f t="shared" si="7"/>
        <v/>
      </c>
      <c r="I35" s="69" t="str">
        <f t="shared" si="8"/>
        <v/>
      </c>
      <c r="J35" s="69" t="str">
        <f t="shared" si="9"/>
        <v/>
      </c>
      <c r="K35" s="96"/>
      <c r="L35" s="96"/>
      <c r="M35" s="97"/>
      <c r="N35" s="97"/>
      <c r="O35" s="97"/>
      <c r="P35" s="97"/>
      <c r="Q35" s="97"/>
      <c r="R35" s="97"/>
      <c r="S35" s="97"/>
      <c r="T35" s="97"/>
      <c r="U35" s="97"/>
      <c r="V35" s="70" t="str">
        <f t="shared" si="10"/>
        <v/>
      </c>
      <c r="X35" s="70" t="str">
        <f t="shared" si="11"/>
        <v/>
      </c>
      <c r="Y35" s="70" t="str">
        <f t="shared" si="12"/>
        <v/>
      </c>
    </row>
    <row r="36" spans="1:25" ht="14">
      <c r="A36" s="94"/>
      <c r="B36" s="26"/>
      <c r="C36" s="29"/>
      <c r="D36" s="30"/>
      <c r="E36" s="31" t="str">
        <f t="shared" si="4"/>
        <v/>
      </c>
      <c r="F36" s="31" t="str">
        <f t="shared" si="5"/>
        <v/>
      </c>
      <c r="G36" s="31" t="str">
        <f t="shared" si="6"/>
        <v/>
      </c>
      <c r="H36" s="69" t="str">
        <f t="shared" si="7"/>
        <v/>
      </c>
      <c r="I36" s="69" t="str">
        <f t="shared" si="8"/>
        <v/>
      </c>
      <c r="J36" s="69" t="str">
        <f t="shared" si="9"/>
        <v/>
      </c>
      <c r="K36" s="96"/>
      <c r="L36" s="96"/>
      <c r="M36" s="96"/>
      <c r="N36" s="96"/>
      <c r="O36" s="96"/>
      <c r="P36" s="96"/>
      <c r="Q36" s="96"/>
      <c r="R36" s="96"/>
      <c r="S36" s="96"/>
      <c r="T36" s="96"/>
      <c r="U36" s="96"/>
      <c r="V36" s="70" t="str">
        <f t="shared" si="10"/>
        <v/>
      </c>
      <c r="X36" s="70" t="str">
        <f t="shared" si="11"/>
        <v/>
      </c>
      <c r="Y36" s="70" t="str">
        <f t="shared" si="12"/>
        <v/>
      </c>
    </row>
    <row r="37" spans="1:25" ht="14">
      <c r="A37" s="94"/>
      <c r="B37" s="26"/>
      <c r="C37" s="29"/>
      <c r="D37" s="30"/>
      <c r="E37" s="31" t="str">
        <f t="shared" si="4"/>
        <v/>
      </c>
      <c r="F37" s="31" t="str">
        <f t="shared" si="5"/>
        <v/>
      </c>
      <c r="G37" s="31" t="str">
        <f t="shared" si="6"/>
        <v/>
      </c>
      <c r="H37" s="69" t="str">
        <f t="shared" si="7"/>
        <v/>
      </c>
      <c r="I37" s="69" t="str">
        <f t="shared" si="8"/>
        <v/>
      </c>
      <c r="J37" s="69" t="str">
        <f t="shared" si="9"/>
        <v/>
      </c>
      <c r="K37" s="96"/>
      <c r="L37" s="96"/>
      <c r="M37" s="96"/>
      <c r="N37" s="96"/>
      <c r="O37" s="96"/>
      <c r="P37" s="96"/>
      <c r="Q37" s="96"/>
      <c r="R37" s="96"/>
      <c r="S37" s="96"/>
      <c r="T37" s="96"/>
      <c r="U37" s="96"/>
      <c r="V37" s="70" t="str">
        <f t="shared" si="10"/>
        <v/>
      </c>
      <c r="X37" s="70" t="str">
        <f t="shared" si="11"/>
        <v/>
      </c>
      <c r="Y37" s="70" t="str">
        <f t="shared" si="12"/>
        <v/>
      </c>
    </row>
    <row r="38" spans="1:25" ht="46.25" customHeight="1">
      <c r="A38" s="94" t="s">
        <v>103</v>
      </c>
      <c r="B38" s="94"/>
      <c r="C38" s="26"/>
      <c r="D38" s="26"/>
      <c r="E38" s="26"/>
      <c r="F38" s="26"/>
      <c r="G38" s="26"/>
      <c r="H38" s="26"/>
      <c r="I38" s="26"/>
      <c r="J38" s="26"/>
      <c r="K38" s="100" t="s">
        <v>50</v>
      </c>
      <c r="L38" s="100"/>
      <c r="M38" s="71" t="s">
        <v>51</v>
      </c>
      <c r="N38" s="71" t="s">
        <v>52</v>
      </c>
      <c r="O38" s="71" t="s">
        <v>53</v>
      </c>
      <c r="P38" s="26"/>
      <c r="Q38" s="26"/>
      <c r="R38" s="26"/>
      <c r="S38" s="26"/>
      <c r="T38" s="26"/>
      <c r="U38" s="26"/>
    </row>
    <row r="39" spans="1:25" ht="14">
      <c r="A39" s="94"/>
      <c r="B39" s="94"/>
      <c r="C39" s="31"/>
      <c r="D39" s="32"/>
      <c r="E39" s="31"/>
      <c r="F39" s="31"/>
      <c r="G39" s="31"/>
      <c r="H39" s="69" t="s">
        <v>17</v>
      </c>
      <c r="I39" s="70" t="s">
        <v>36</v>
      </c>
      <c r="J39" s="26"/>
      <c r="K39" s="33">
        <f>K4-O4</f>
        <v>242.39</v>
      </c>
      <c r="L39" s="33">
        <f>L4-O4</f>
        <v>0</v>
      </c>
      <c r="M39" s="33">
        <f>O4</f>
        <v>162.11000000000001</v>
      </c>
      <c r="N39" s="33">
        <f>N4*2.1</f>
        <v>87.29</v>
      </c>
      <c r="O39" s="33">
        <f>N4*1.8</f>
        <v>74.820000000000007</v>
      </c>
      <c r="P39" s="69"/>
      <c r="Q39" s="69"/>
      <c r="R39" s="69"/>
      <c r="S39" s="69"/>
      <c r="T39" s="69"/>
      <c r="U39" s="69"/>
    </row>
    <row r="40" spans="1:25" ht="14">
      <c r="A40" s="70" t="s">
        <v>37</v>
      </c>
      <c r="B40" s="27"/>
      <c r="C40" s="34"/>
      <c r="D40" s="34"/>
      <c r="E40" s="34"/>
      <c r="F40" s="34"/>
      <c r="G40" s="34"/>
      <c r="H40" s="69"/>
      <c r="I40" s="69"/>
      <c r="J40" s="69"/>
      <c r="K40" s="69">
        <f>SUM(H40:H40)</f>
        <v>0</v>
      </c>
      <c r="L40" s="69">
        <f>SUM(J40:J40)</f>
        <v>0</v>
      </c>
      <c r="M40" s="69"/>
      <c r="N40" s="69"/>
      <c r="O40" s="69"/>
      <c r="P40" s="69">
        <f>K40/$Q$1</f>
        <v>0</v>
      </c>
      <c r="Q40" s="69">
        <f>L40/$Q$1</f>
        <v>0</v>
      </c>
      <c r="R40" s="35">
        <v>0</v>
      </c>
      <c r="S40" s="35">
        <v>0</v>
      </c>
      <c r="T40" s="69">
        <f>R40/$U$1</f>
        <v>0</v>
      </c>
      <c r="U40" s="69">
        <f>S40/$U$1</f>
        <v>0</v>
      </c>
    </row>
    <row r="41" spans="1:25" ht="12.75" customHeight="1">
      <c r="A41" s="94" t="s">
        <v>104</v>
      </c>
      <c r="B41" s="26"/>
      <c r="C41" s="34"/>
      <c r="D41" s="34"/>
      <c r="E41" s="34"/>
      <c r="F41" s="34"/>
      <c r="G41" s="34"/>
      <c r="H41" s="69"/>
      <c r="I41" s="69"/>
      <c r="J41" s="69"/>
      <c r="K41" s="99">
        <f>SUM(H41:H44)</f>
        <v>0</v>
      </c>
      <c r="L41" s="99">
        <f>SUM(J41:J44)</f>
        <v>0</v>
      </c>
      <c r="M41" s="69"/>
      <c r="N41" s="69"/>
      <c r="O41" s="69"/>
      <c r="P41" s="99">
        <f>K41/$Q$1</f>
        <v>0</v>
      </c>
      <c r="Q41" s="99">
        <f>L41/$Q$1</f>
        <v>0</v>
      </c>
      <c r="R41" s="102">
        <v>0</v>
      </c>
      <c r="S41" s="102">
        <v>0</v>
      </c>
      <c r="T41" s="99">
        <f>R41/$U$1</f>
        <v>0</v>
      </c>
      <c r="U41" s="99">
        <f>S41/$U$1</f>
        <v>0</v>
      </c>
    </row>
    <row r="42" spans="1:25">
      <c r="A42" s="94"/>
      <c r="B42" s="26"/>
      <c r="C42" s="34"/>
      <c r="D42" s="34"/>
      <c r="E42" s="34"/>
      <c r="F42" s="34"/>
      <c r="G42" s="34"/>
      <c r="H42" s="69"/>
      <c r="I42" s="69"/>
      <c r="J42" s="26"/>
      <c r="K42" s="99"/>
      <c r="L42" s="99"/>
      <c r="M42" s="69"/>
      <c r="N42" s="69"/>
      <c r="O42" s="69"/>
      <c r="P42" s="99"/>
      <c r="Q42" s="99"/>
      <c r="R42" s="102"/>
      <c r="S42" s="102"/>
      <c r="T42" s="99"/>
      <c r="U42" s="99"/>
    </row>
    <row r="43" spans="1:25">
      <c r="A43" s="94"/>
      <c r="H43" s="69"/>
      <c r="I43" s="69"/>
      <c r="J43" s="69"/>
      <c r="K43" s="99"/>
      <c r="L43" s="99"/>
      <c r="M43" s="69"/>
      <c r="N43" s="69"/>
      <c r="O43" s="69"/>
      <c r="P43" s="99"/>
      <c r="Q43" s="99"/>
      <c r="R43" s="102"/>
      <c r="S43" s="102"/>
      <c r="T43" s="99"/>
      <c r="U43" s="99"/>
    </row>
    <row r="44" spans="1:25">
      <c r="A44" s="94"/>
      <c r="B44" s="27"/>
      <c r="C44" s="34"/>
      <c r="D44" s="34"/>
      <c r="E44" s="34"/>
      <c r="F44" s="34"/>
      <c r="G44" s="34"/>
      <c r="H44" s="69"/>
      <c r="I44" s="69"/>
      <c r="J44" s="69"/>
      <c r="K44" s="99"/>
      <c r="L44" s="99"/>
      <c r="M44" s="69"/>
      <c r="N44" s="69"/>
      <c r="O44" s="69"/>
      <c r="P44" s="99"/>
      <c r="Q44" s="99"/>
      <c r="R44" s="102"/>
      <c r="S44" s="102"/>
      <c r="T44" s="99"/>
      <c r="U44" s="99"/>
    </row>
    <row r="45" spans="1:25" ht="12.75" customHeight="1">
      <c r="A45" s="94" t="s">
        <v>105</v>
      </c>
      <c r="B45" s="27" t="s">
        <v>106</v>
      </c>
      <c r="C45" s="34"/>
      <c r="D45" s="34"/>
      <c r="E45" s="34"/>
      <c r="F45" s="34"/>
      <c r="G45" s="34"/>
      <c r="H45" s="69">
        <v>1.5</v>
      </c>
      <c r="I45" s="69"/>
      <c r="J45" s="69"/>
      <c r="K45" s="99">
        <f>SUM(H45:H47)</f>
        <v>2.5</v>
      </c>
      <c r="L45" s="99">
        <v>0</v>
      </c>
      <c r="M45" s="69"/>
      <c r="N45" s="69"/>
      <c r="O45" s="69"/>
      <c r="P45" s="99">
        <f>K45/$Q$1</f>
        <v>0.19825535289452817</v>
      </c>
      <c r="Q45" s="99">
        <f>L45/$Q$1</f>
        <v>0</v>
      </c>
      <c r="R45" s="102">
        <v>0</v>
      </c>
      <c r="S45" s="102">
        <v>0</v>
      </c>
      <c r="T45" s="99">
        <f>R45/$U$1</f>
        <v>0</v>
      </c>
      <c r="U45" s="99">
        <f>S45/$U$1</f>
        <v>0</v>
      </c>
    </row>
    <row r="46" spans="1:25">
      <c r="A46" s="94"/>
      <c r="B46" s="26"/>
      <c r="C46" s="34"/>
      <c r="D46" s="34"/>
      <c r="E46" s="34"/>
      <c r="F46" s="34"/>
      <c r="G46" s="34"/>
      <c r="H46" s="69"/>
      <c r="I46" s="69"/>
      <c r="J46" s="69"/>
      <c r="K46" s="99"/>
      <c r="L46" s="99"/>
      <c r="M46" s="69"/>
      <c r="N46" s="69"/>
      <c r="O46" s="69"/>
      <c r="P46" s="99"/>
      <c r="Q46" s="99"/>
      <c r="R46" s="102"/>
      <c r="S46" s="102"/>
      <c r="T46" s="99"/>
      <c r="U46" s="99"/>
    </row>
    <row r="47" spans="1:25" ht="56">
      <c r="A47" s="94"/>
      <c r="B47" s="27" t="s">
        <v>107</v>
      </c>
      <c r="C47" s="34"/>
      <c r="D47" s="34"/>
      <c r="E47" s="34"/>
      <c r="F47" s="34"/>
      <c r="G47" s="34"/>
      <c r="H47" s="69">
        <v>1</v>
      </c>
      <c r="I47" s="69"/>
      <c r="J47" s="69"/>
      <c r="K47" s="99">
        <f>SUM(H47:H47)</f>
        <v>1</v>
      </c>
      <c r="L47" s="99"/>
      <c r="M47" s="69"/>
      <c r="N47" s="69"/>
      <c r="O47" s="69"/>
      <c r="P47" s="99"/>
      <c r="Q47" s="99"/>
      <c r="R47" s="102"/>
      <c r="S47" s="102"/>
      <c r="T47" s="99"/>
      <c r="U47" s="99"/>
    </row>
    <row r="48" spans="1:25" ht="12.75" customHeight="1">
      <c r="A48" s="94" t="s">
        <v>38</v>
      </c>
      <c r="B48" s="27" t="s">
        <v>108</v>
      </c>
      <c r="C48" s="34"/>
      <c r="D48" s="34"/>
      <c r="E48" s="34"/>
      <c r="F48" s="34"/>
      <c r="G48" s="34"/>
      <c r="H48" s="69">
        <v>19</v>
      </c>
      <c r="I48" s="69"/>
      <c r="J48" s="69"/>
      <c r="K48" s="99">
        <f>SUM(H48:H54)</f>
        <v>23</v>
      </c>
      <c r="L48" s="99">
        <f>SUM(J48:J54)</f>
        <v>0</v>
      </c>
      <c r="M48" s="69"/>
      <c r="N48" s="69"/>
      <c r="O48" s="69"/>
      <c r="P48" s="99">
        <f>K48/$Q$1</f>
        <v>1.8239492466296592</v>
      </c>
      <c r="Q48" s="99">
        <f>L48/$Q$1</f>
        <v>0</v>
      </c>
      <c r="R48" s="102">
        <v>0</v>
      </c>
      <c r="S48" s="102">
        <v>0</v>
      </c>
      <c r="T48" s="99">
        <f>R48/$U$1</f>
        <v>0</v>
      </c>
      <c r="U48" s="99">
        <f>S48/$U$1</f>
        <v>0</v>
      </c>
    </row>
    <row r="49" spans="1:21">
      <c r="A49" s="94"/>
      <c r="B49" s="26"/>
      <c r="C49" s="26"/>
      <c r="D49" s="26"/>
      <c r="E49" s="26"/>
      <c r="F49" s="26"/>
      <c r="G49" s="26"/>
      <c r="H49" s="69"/>
      <c r="I49" s="69"/>
      <c r="J49" s="26"/>
      <c r="K49" s="99"/>
      <c r="L49" s="99"/>
      <c r="M49" s="69"/>
      <c r="N49" s="69"/>
      <c r="O49" s="69"/>
      <c r="P49" s="99"/>
      <c r="Q49" s="99"/>
      <c r="R49" s="102"/>
      <c r="S49" s="102"/>
      <c r="T49" s="99"/>
      <c r="U49" s="99"/>
    </row>
    <row r="50" spans="1:21" ht="154">
      <c r="A50" s="94"/>
      <c r="B50" s="72" t="s">
        <v>109</v>
      </c>
      <c r="C50" s="26"/>
      <c r="D50" s="26"/>
      <c r="E50" s="26"/>
      <c r="F50" s="26"/>
      <c r="G50" s="26"/>
      <c r="H50" s="69">
        <v>0.5</v>
      </c>
      <c r="I50" s="69"/>
      <c r="J50" s="26"/>
      <c r="K50" s="99"/>
      <c r="L50" s="99"/>
      <c r="M50" s="69"/>
      <c r="N50" s="69"/>
      <c r="O50" s="69"/>
      <c r="P50" s="99"/>
      <c r="Q50" s="99"/>
      <c r="R50" s="102"/>
      <c r="S50" s="102"/>
      <c r="T50" s="99"/>
      <c r="U50" s="99"/>
    </row>
    <row r="51" spans="1:21" ht="98">
      <c r="A51" s="94"/>
      <c r="B51" s="72" t="s">
        <v>110</v>
      </c>
      <c r="C51" s="26"/>
      <c r="D51" s="26"/>
      <c r="E51" s="26"/>
      <c r="F51" s="26"/>
      <c r="G51" s="26"/>
      <c r="H51" s="69">
        <v>0.5</v>
      </c>
      <c r="I51" s="69"/>
      <c r="J51" s="26"/>
      <c r="K51" s="99"/>
      <c r="L51" s="99"/>
      <c r="M51" s="69"/>
      <c r="N51" s="69"/>
      <c r="O51" s="69"/>
      <c r="P51" s="99"/>
      <c r="Q51" s="99"/>
      <c r="R51" s="102"/>
      <c r="S51" s="102"/>
      <c r="T51" s="99"/>
      <c r="U51" s="99"/>
    </row>
    <row r="52" spans="1:21">
      <c r="A52" s="94"/>
      <c r="B52" s="26"/>
      <c r="C52" s="26"/>
      <c r="D52" s="26"/>
      <c r="E52" s="26"/>
      <c r="F52" s="26"/>
      <c r="G52" s="26"/>
      <c r="H52" s="69"/>
      <c r="I52" s="69"/>
      <c r="J52" s="26"/>
      <c r="K52" s="99"/>
      <c r="L52" s="99"/>
      <c r="M52" s="69"/>
      <c r="N52" s="69"/>
      <c r="O52" s="69"/>
      <c r="P52" s="99"/>
      <c r="Q52" s="99"/>
      <c r="R52" s="102"/>
      <c r="S52" s="102"/>
      <c r="T52" s="99"/>
      <c r="U52" s="99"/>
    </row>
    <row r="53" spans="1:21" ht="98">
      <c r="A53" s="94"/>
      <c r="B53" s="72" t="s">
        <v>111</v>
      </c>
      <c r="C53" s="26"/>
      <c r="D53" s="26"/>
      <c r="E53" s="26"/>
      <c r="F53" s="26"/>
      <c r="G53" s="26"/>
      <c r="H53" s="69">
        <v>3</v>
      </c>
      <c r="I53" s="26"/>
      <c r="J53" s="26"/>
      <c r="K53" s="99"/>
      <c r="L53" s="99"/>
      <c r="M53" s="69"/>
      <c r="N53" s="69"/>
      <c r="O53" s="69"/>
      <c r="P53" s="99"/>
      <c r="Q53" s="99"/>
      <c r="R53" s="102"/>
      <c r="S53" s="102"/>
      <c r="T53" s="99"/>
      <c r="U53" s="99"/>
    </row>
    <row r="54" spans="1:21">
      <c r="A54" s="94"/>
      <c r="B54" s="27"/>
      <c r="C54" s="34"/>
      <c r="D54" s="34"/>
      <c r="E54" s="34"/>
      <c r="F54" s="34"/>
      <c r="G54" s="34"/>
      <c r="H54" s="69"/>
      <c r="I54" s="69"/>
      <c r="J54" s="69"/>
      <c r="K54" s="99"/>
      <c r="L54" s="99"/>
      <c r="M54" s="69"/>
      <c r="N54" s="69"/>
      <c r="O54" s="69"/>
      <c r="P54" s="99"/>
      <c r="Q54" s="99"/>
      <c r="R54" s="102"/>
      <c r="S54" s="102"/>
      <c r="T54" s="99"/>
      <c r="U54" s="99"/>
    </row>
    <row r="55" spans="1:21" ht="12.75" customHeight="1">
      <c r="A55" s="94" t="s">
        <v>39</v>
      </c>
      <c r="B55" s="27" t="s">
        <v>112</v>
      </c>
      <c r="C55" s="34"/>
      <c r="D55" s="34"/>
      <c r="E55" s="34"/>
      <c r="F55" s="34"/>
      <c r="G55" s="34"/>
      <c r="H55" s="69">
        <v>5</v>
      </c>
      <c r="I55" s="69">
        <v>5</v>
      </c>
      <c r="J55" s="69"/>
      <c r="K55" s="99">
        <f>SUM(H55:H61)</f>
        <v>5</v>
      </c>
      <c r="L55" s="99">
        <f>SUM(I55:I61)</f>
        <v>5</v>
      </c>
      <c r="M55" s="69"/>
      <c r="N55" s="69"/>
      <c r="O55" s="69"/>
      <c r="P55" s="99">
        <f>K55/$Q$1</f>
        <v>0.39651070578905634</v>
      </c>
      <c r="Q55" s="99">
        <f>L55/$Q$1</f>
        <v>0.39651070578905634</v>
      </c>
      <c r="R55" s="102">
        <v>0</v>
      </c>
      <c r="S55" s="102">
        <v>0</v>
      </c>
      <c r="T55" s="99">
        <f>R55/$U$1</f>
        <v>0</v>
      </c>
      <c r="U55" s="99">
        <f>S55/$U$1</f>
        <v>0</v>
      </c>
    </row>
    <row r="56" spans="1:21">
      <c r="A56" s="94"/>
      <c r="B56" s="27"/>
      <c r="C56" s="34"/>
      <c r="D56" s="34"/>
      <c r="E56" s="34"/>
      <c r="F56" s="34"/>
      <c r="G56" s="34"/>
      <c r="H56" s="69"/>
      <c r="I56" s="69"/>
      <c r="J56" s="69"/>
      <c r="K56" s="99"/>
      <c r="L56" s="99"/>
      <c r="M56" s="69"/>
      <c r="N56" s="69"/>
      <c r="O56" s="69"/>
      <c r="P56" s="99"/>
      <c r="Q56" s="99"/>
      <c r="R56" s="102"/>
      <c r="S56" s="102"/>
      <c r="T56" s="99"/>
      <c r="U56" s="99"/>
    </row>
    <row r="57" spans="1:21">
      <c r="A57" s="94"/>
      <c r="B57" s="27"/>
      <c r="C57" s="34"/>
      <c r="D57" s="34"/>
      <c r="E57" s="34"/>
      <c r="F57" s="34"/>
      <c r="G57" s="34"/>
      <c r="H57" s="69"/>
      <c r="I57" s="69"/>
      <c r="J57" s="69"/>
      <c r="K57" s="99"/>
      <c r="L57" s="99"/>
      <c r="M57" s="69"/>
      <c r="N57" s="69"/>
      <c r="O57" s="69"/>
      <c r="P57" s="99"/>
      <c r="Q57" s="99"/>
      <c r="R57" s="102"/>
      <c r="S57" s="102"/>
      <c r="T57" s="99"/>
      <c r="U57" s="99"/>
    </row>
    <row r="58" spans="1:21">
      <c r="A58" s="94"/>
      <c r="B58" s="27"/>
      <c r="C58" s="34"/>
      <c r="D58" s="34"/>
      <c r="E58" s="34"/>
      <c r="F58" s="34"/>
      <c r="G58" s="34"/>
      <c r="H58" s="69"/>
      <c r="I58" s="69"/>
      <c r="J58" s="69"/>
      <c r="K58" s="99"/>
      <c r="L58" s="99"/>
      <c r="M58" s="69"/>
      <c r="N58" s="69"/>
      <c r="O58" s="69"/>
      <c r="P58" s="99"/>
      <c r="Q58" s="99"/>
      <c r="R58" s="102"/>
      <c r="S58" s="102"/>
      <c r="T58" s="99"/>
      <c r="U58" s="99"/>
    </row>
    <row r="59" spans="1:21">
      <c r="A59" s="94"/>
      <c r="B59" s="27"/>
      <c r="C59" s="34"/>
      <c r="D59" s="34"/>
      <c r="E59" s="34"/>
      <c r="F59" s="34"/>
      <c r="G59" s="34"/>
      <c r="H59" s="69"/>
      <c r="I59" s="69"/>
      <c r="J59" s="69"/>
      <c r="K59" s="99"/>
      <c r="L59" s="99"/>
      <c r="M59" s="69"/>
      <c r="N59" s="69"/>
      <c r="O59" s="69"/>
      <c r="P59" s="99"/>
      <c r="Q59" s="99"/>
      <c r="R59" s="102"/>
      <c r="S59" s="102"/>
      <c r="T59" s="99"/>
      <c r="U59" s="99"/>
    </row>
    <row r="60" spans="1:21">
      <c r="A60" s="94"/>
      <c r="B60" s="27"/>
      <c r="C60" s="34"/>
      <c r="D60" s="34"/>
      <c r="E60" s="34"/>
      <c r="F60" s="34"/>
      <c r="G60" s="34"/>
      <c r="H60" s="69"/>
      <c r="I60" s="69"/>
      <c r="J60" s="69"/>
      <c r="K60" s="99"/>
      <c r="L60" s="99"/>
      <c r="M60" s="69"/>
      <c r="N60" s="69"/>
      <c r="O60" s="69"/>
      <c r="P60" s="99"/>
      <c r="Q60" s="99"/>
      <c r="R60" s="102"/>
      <c r="S60" s="102"/>
      <c r="T60" s="99"/>
      <c r="U60" s="99"/>
    </row>
    <row r="61" spans="1:21">
      <c r="A61" s="94"/>
      <c r="B61" s="27"/>
      <c r="C61" s="34"/>
      <c r="D61" s="34"/>
      <c r="E61" s="34"/>
      <c r="F61" s="34"/>
      <c r="G61" s="34"/>
      <c r="H61" s="69"/>
      <c r="I61" s="69"/>
      <c r="J61" s="69"/>
      <c r="K61" s="99"/>
      <c r="L61" s="99"/>
      <c r="M61" s="69"/>
      <c r="N61" s="69"/>
      <c r="O61" s="69"/>
      <c r="P61" s="99"/>
      <c r="Q61" s="99"/>
      <c r="R61" s="102"/>
      <c r="S61" s="102"/>
      <c r="T61" s="99"/>
      <c r="U61" s="99"/>
    </row>
    <row r="62" spans="1:21" ht="12.75" customHeight="1">
      <c r="A62" s="94" t="s">
        <v>40</v>
      </c>
      <c r="B62" s="26"/>
      <c r="C62" s="34"/>
      <c r="D62" s="34"/>
      <c r="E62" s="34"/>
      <c r="F62" s="34"/>
      <c r="G62" s="34"/>
      <c r="H62" s="69"/>
      <c r="I62" s="69"/>
      <c r="J62" s="69"/>
      <c r="K62" s="99">
        <f>SUM(H62:H69)</f>
        <v>0</v>
      </c>
      <c r="L62" s="99">
        <f>SUM(J62:J69)</f>
        <v>0</v>
      </c>
      <c r="M62" s="69"/>
      <c r="N62" s="69"/>
      <c r="O62" s="69"/>
      <c r="P62" s="99">
        <f>K62/$Q$1</f>
        <v>0</v>
      </c>
      <c r="Q62" s="99">
        <f>L62/$Q$1</f>
        <v>0</v>
      </c>
      <c r="R62" s="99">
        <v>0</v>
      </c>
      <c r="S62" s="99">
        <v>0</v>
      </c>
      <c r="T62" s="99">
        <f>R62/$U$1</f>
        <v>0</v>
      </c>
      <c r="U62" s="99">
        <f>S62/$U$1</f>
        <v>0</v>
      </c>
    </row>
    <row r="63" spans="1:21">
      <c r="A63" s="94"/>
      <c r="B63" s="26"/>
      <c r="C63" s="34"/>
      <c r="D63" s="34"/>
      <c r="E63" s="34"/>
      <c r="F63" s="34"/>
      <c r="G63" s="34"/>
      <c r="H63" s="69"/>
      <c r="I63" s="69"/>
      <c r="J63" s="69"/>
      <c r="K63" s="99"/>
      <c r="L63" s="99"/>
      <c r="M63" s="69"/>
      <c r="N63" s="69"/>
      <c r="O63" s="69"/>
      <c r="P63" s="99"/>
      <c r="Q63" s="99"/>
      <c r="R63" s="99"/>
      <c r="S63" s="99"/>
      <c r="T63" s="99"/>
      <c r="U63" s="99"/>
    </row>
    <row r="64" spans="1:21">
      <c r="A64" s="94"/>
      <c r="B64" s="26"/>
      <c r="C64" s="34"/>
      <c r="D64" s="34"/>
      <c r="E64" s="34"/>
      <c r="F64" s="34"/>
      <c r="G64" s="34"/>
      <c r="H64" s="69"/>
      <c r="I64" s="69"/>
      <c r="J64" s="69"/>
      <c r="K64" s="99"/>
      <c r="L64" s="99"/>
      <c r="M64" s="69"/>
      <c r="N64" s="69"/>
      <c r="O64" s="69"/>
      <c r="P64" s="99"/>
      <c r="Q64" s="99"/>
      <c r="R64" s="99"/>
      <c r="S64" s="99"/>
      <c r="T64" s="99"/>
      <c r="U64" s="99"/>
    </row>
    <row r="65" spans="1:21">
      <c r="A65" s="94"/>
      <c r="B65" s="26"/>
      <c r="C65" s="34"/>
      <c r="D65" s="34"/>
      <c r="E65" s="34"/>
      <c r="F65" s="34"/>
      <c r="G65" s="34"/>
      <c r="H65" s="69"/>
      <c r="I65" s="69"/>
      <c r="J65" s="69"/>
      <c r="K65" s="99"/>
      <c r="L65" s="99"/>
      <c r="M65" s="69"/>
      <c r="N65" s="69"/>
      <c r="O65" s="69"/>
      <c r="P65" s="99"/>
      <c r="Q65" s="99"/>
      <c r="R65" s="99"/>
      <c r="S65" s="99"/>
      <c r="T65" s="99"/>
      <c r="U65" s="99"/>
    </row>
    <row r="66" spans="1:21">
      <c r="A66" s="94"/>
      <c r="B66" s="26"/>
      <c r="C66" s="34"/>
      <c r="D66" s="34"/>
      <c r="E66" s="34"/>
      <c r="F66" s="34"/>
      <c r="G66" s="34"/>
      <c r="H66" s="69"/>
      <c r="I66" s="69"/>
      <c r="J66" s="69"/>
      <c r="K66" s="99"/>
      <c r="L66" s="99"/>
      <c r="M66" s="69"/>
      <c r="N66" s="69"/>
      <c r="O66" s="69"/>
      <c r="P66" s="99"/>
      <c r="Q66" s="99"/>
      <c r="R66" s="99"/>
      <c r="S66" s="99"/>
      <c r="T66" s="99"/>
      <c r="U66" s="99"/>
    </row>
    <row r="67" spans="1:21">
      <c r="A67" s="94"/>
      <c r="B67" s="27"/>
      <c r="C67" s="26"/>
      <c r="D67" s="26"/>
      <c r="E67" s="26"/>
      <c r="F67" s="26"/>
      <c r="G67" s="26"/>
      <c r="H67" s="69"/>
      <c r="I67" s="69"/>
      <c r="J67" s="69"/>
      <c r="K67" s="99"/>
      <c r="L67" s="99"/>
      <c r="M67" s="69"/>
      <c r="N67" s="69"/>
      <c r="O67" s="69"/>
      <c r="P67" s="99"/>
      <c r="Q67" s="99"/>
      <c r="R67" s="99"/>
      <c r="S67" s="99"/>
      <c r="T67" s="99"/>
      <c r="U67" s="99"/>
    </row>
    <row r="68" spans="1:21">
      <c r="A68" s="94"/>
      <c r="B68" s="27"/>
      <c r="C68" s="34"/>
      <c r="D68" s="34"/>
      <c r="E68" s="34"/>
      <c r="F68" s="34"/>
      <c r="G68" s="34"/>
      <c r="H68" s="69"/>
      <c r="I68" s="69"/>
      <c r="J68" s="26"/>
      <c r="K68" s="99"/>
      <c r="L68" s="99"/>
      <c r="M68" s="69"/>
      <c r="N68" s="69"/>
      <c r="O68" s="69"/>
      <c r="P68" s="99"/>
      <c r="Q68" s="99"/>
      <c r="R68" s="99"/>
      <c r="S68" s="99"/>
      <c r="T68" s="99"/>
      <c r="U68" s="99"/>
    </row>
    <row r="69" spans="1:21">
      <c r="A69" s="94"/>
      <c r="B69" s="27"/>
      <c r="C69" s="34"/>
      <c r="D69" s="34"/>
      <c r="E69" s="34"/>
      <c r="F69" s="34"/>
      <c r="G69" s="34"/>
      <c r="H69" s="69"/>
      <c r="I69" s="69"/>
      <c r="J69" s="26"/>
      <c r="K69" s="99"/>
      <c r="L69" s="99"/>
      <c r="M69" s="69"/>
      <c r="N69" s="69"/>
      <c r="O69" s="69"/>
      <c r="P69" s="99"/>
      <c r="Q69" s="99"/>
      <c r="R69" s="99"/>
      <c r="S69" s="99"/>
      <c r="T69" s="99"/>
      <c r="U69" s="99"/>
    </row>
    <row r="70" spans="1:21" ht="56">
      <c r="B70" s="36" t="s">
        <v>113</v>
      </c>
      <c r="C70" s="34"/>
      <c r="D70" s="34"/>
      <c r="E70" s="34"/>
      <c r="F70" s="34"/>
      <c r="G70" s="34"/>
      <c r="H70" s="69"/>
      <c r="I70" s="69"/>
      <c r="J70" s="69"/>
      <c r="K70" s="69">
        <f>SUM(K4:K69)-K39</f>
        <v>436</v>
      </c>
      <c r="L70" s="69">
        <f>SUM(L4:L69)-L39</f>
        <v>167.10999999999999</v>
      </c>
      <c r="M70" s="69"/>
      <c r="N70" s="69"/>
      <c r="O70" s="69"/>
      <c r="P70" s="69">
        <f>K70/$Q$1</f>
        <v>34.575733544805715</v>
      </c>
      <c r="Q70" s="69">
        <f>L70/$Q$1</f>
        <v>13.252180808881839</v>
      </c>
      <c r="R70" s="69">
        <f>R4+R40+R41+R45+R48+R55+R62</f>
        <v>229.5</v>
      </c>
      <c r="S70" s="69">
        <f>S4+S40+S41+S45+S48+S55+S62</f>
        <v>56.5</v>
      </c>
      <c r="T70" s="69">
        <f>R70/$U$1</f>
        <v>15.198675496688741</v>
      </c>
      <c r="U70" s="69">
        <f>S70/$U$1</f>
        <v>3.741721854304636</v>
      </c>
    </row>
    <row r="71" spans="1:21" ht="98">
      <c r="B71" s="37" t="s">
        <v>114</v>
      </c>
      <c r="C71" s="34"/>
      <c r="D71" s="34"/>
      <c r="E71" s="34"/>
      <c r="F71" s="34"/>
      <c r="G71" s="34"/>
      <c r="H71" s="69"/>
      <c r="I71" s="69"/>
      <c r="J71" s="69"/>
      <c r="K71" s="38">
        <f>K70-$O$4</f>
        <v>273.89</v>
      </c>
      <c r="L71" s="38">
        <f>L70-$O$4</f>
        <v>4.9999999999999716</v>
      </c>
      <c r="M71" s="69"/>
      <c r="N71" s="69"/>
      <c r="O71" s="69"/>
      <c r="P71" s="69">
        <f>K71/$Q$1</f>
        <v>21.720063441712927</v>
      </c>
      <c r="Q71" s="69">
        <f>L71/$Q$1</f>
        <v>0.39651070578905406</v>
      </c>
    </row>
    <row r="72" spans="1:21">
      <c r="B72" s="27"/>
      <c r="C72" s="34"/>
      <c r="D72" s="34"/>
      <c r="E72" s="34"/>
      <c r="F72" s="34"/>
      <c r="G72" s="34"/>
      <c r="H72" s="69"/>
      <c r="I72" s="69"/>
      <c r="J72" s="69"/>
      <c r="K72" s="69"/>
      <c r="L72" s="69"/>
      <c r="M72" s="69"/>
      <c r="N72" s="69"/>
      <c r="O72" s="69"/>
    </row>
    <row r="73" spans="1:21">
      <c r="B73" s="27"/>
      <c r="C73" s="34"/>
      <c r="D73" s="34"/>
      <c r="E73" s="34"/>
      <c r="F73" s="34"/>
      <c r="G73" s="34"/>
      <c r="H73" s="69"/>
      <c r="I73" s="69"/>
      <c r="J73" s="69"/>
      <c r="K73" s="69"/>
      <c r="L73" s="69"/>
      <c r="M73" s="69"/>
      <c r="N73" s="69"/>
      <c r="O73" s="69"/>
    </row>
    <row r="74" spans="1:21">
      <c r="B74" s="27"/>
      <c r="C74" s="34"/>
      <c r="D74" s="34"/>
      <c r="E74" s="34"/>
      <c r="F74" s="34"/>
      <c r="G74" s="34"/>
      <c r="H74" s="69"/>
      <c r="I74" s="69"/>
      <c r="J74" s="69"/>
      <c r="K74" s="69"/>
      <c r="L74" s="69"/>
      <c r="M74" s="69"/>
      <c r="N74" s="69"/>
      <c r="O74" s="69"/>
    </row>
    <row r="75" spans="1:21">
      <c r="B75" s="27"/>
      <c r="C75" s="34"/>
      <c r="D75" s="34"/>
      <c r="E75" s="34"/>
      <c r="F75" s="34"/>
      <c r="G75" s="34"/>
      <c r="H75" s="69"/>
      <c r="I75" s="69"/>
      <c r="J75" s="69"/>
      <c r="K75" s="69"/>
      <c r="L75" s="69"/>
      <c r="M75" s="69"/>
      <c r="N75" s="69"/>
      <c r="O75" s="69"/>
    </row>
    <row r="76" spans="1:21">
      <c r="B76" s="27"/>
      <c r="C76" s="34"/>
      <c r="D76" s="34"/>
      <c r="E76" s="34"/>
      <c r="F76" s="34"/>
      <c r="G76" s="34"/>
      <c r="H76" s="69"/>
      <c r="I76" s="69"/>
      <c r="J76" s="69"/>
      <c r="K76" s="69"/>
      <c r="L76" s="69"/>
      <c r="M76" s="69"/>
      <c r="N76" s="69"/>
      <c r="O76" s="69"/>
    </row>
    <row r="77" spans="1:21">
      <c r="B77" s="27"/>
      <c r="C77" s="34"/>
      <c r="D77" s="34"/>
      <c r="E77" s="34"/>
      <c r="F77" s="34"/>
      <c r="G77" s="34"/>
      <c r="H77" s="69"/>
      <c r="I77" s="69"/>
      <c r="J77" s="69"/>
      <c r="K77" s="69"/>
      <c r="L77" s="69"/>
      <c r="M77" s="69"/>
      <c r="N77" s="69"/>
      <c r="O77" s="69"/>
    </row>
    <row r="78" spans="1:21">
      <c r="B78" s="27"/>
      <c r="C78" s="34"/>
      <c r="D78" s="34"/>
      <c r="E78" s="34"/>
      <c r="F78" s="34"/>
      <c r="G78" s="34"/>
      <c r="H78" s="69"/>
      <c r="I78" s="69"/>
      <c r="J78" s="69"/>
      <c r="K78" s="69"/>
      <c r="L78" s="69"/>
      <c r="M78" s="69"/>
      <c r="N78" s="69"/>
      <c r="O78" s="69"/>
    </row>
    <row r="79" spans="1:21">
      <c r="B79" s="27"/>
      <c r="C79" s="34"/>
      <c r="D79" s="34"/>
      <c r="E79" s="34"/>
      <c r="F79" s="34"/>
      <c r="G79" s="34"/>
      <c r="H79" s="69"/>
      <c r="I79" s="69"/>
      <c r="J79" s="69"/>
      <c r="K79" s="69"/>
      <c r="L79" s="69"/>
      <c r="M79" s="69"/>
      <c r="N79" s="69"/>
      <c r="O79" s="69"/>
    </row>
    <row r="80" spans="1:21">
      <c r="B80" s="27"/>
      <c r="C80" s="34"/>
      <c r="D80" s="34"/>
      <c r="E80" s="34"/>
      <c r="F80" s="34"/>
      <c r="G80" s="34"/>
      <c r="H80" s="69"/>
      <c r="I80" s="69"/>
      <c r="J80" s="69"/>
      <c r="K80" s="69"/>
      <c r="L80" s="69"/>
      <c r="M80" s="69"/>
      <c r="N80" s="69"/>
      <c r="O80" s="69"/>
    </row>
    <row r="81" spans="2:15">
      <c r="B81" s="27"/>
      <c r="C81" s="34"/>
      <c r="D81" s="34"/>
      <c r="E81" s="34"/>
      <c r="F81" s="34"/>
      <c r="G81" s="34"/>
      <c r="H81" s="69"/>
      <c r="I81" s="69"/>
      <c r="J81" s="69"/>
      <c r="K81" s="69"/>
      <c r="L81" s="69"/>
      <c r="M81" s="69"/>
      <c r="N81" s="69"/>
      <c r="O81" s="69"/>
    </row>
    <row r="82" spans="2:15">
      <c r="H82" s="69"/>
      <c r="I82" s="69"/>
      <c r="J82" s="69"/>
      <c r="K82" s="69"/>
      <c r="L82" s="69"/>
      <c r="M82" s="69"/>
      <c r="N82" s="69"/>
      <c r="O82" s="69"/>
    </row>
    <row r="83" spans="2:15" ht="14">
      <c r="H83" s="69" t="s">
        <v>41</v>
      </c>
      <c r="I83" s="69"/>
      <c r="J83" s="69"/>
      <c r="K83" s="69"/>
      <c r="L83" s="69"/>
      <c r="M83" s="69"/>
      <c r="N83" s="69"/>
      <c r="O83" s="69"/>
    </row>
  </sheetData>
  <mergeCells count="70">
    <mergeCell ref="R62:R69"/>
    <mergeCell ref="S62:S69"/>
    <mergeCell ref="T62:T69"/>
    <mergeCell ref="U62:U69"/>
    <mergeCell ref="A62:A69"/>
    <mergeCell ref="K62:K69"/>
    <mergeCell ref="L62:L69"/>
    <mergeCell ref="P62:P69"/>
    <mergeCell ref="Q62:Q69"/>
    <mergeCell ref="T48:T54"/>
    <mergeCell ref="U48:U54"/>
    <mergeCell ref="A55:A61"/>
    <mergeCell ref="K55:K61"/>
    <mergeCell ref="L55:L61"/>
    <mergeCell ref="P55:P61"/>
    <mergeCell ref="Q55:Q61"/>
    <mergeCell ref="R55:R61"/>
    <mergeCell ref="S55:S61"/>
    <mergeCell ref="T55:T61"/>
    <mergeCell ref="U55:U61"/>
    <mergeCell ref="R48:R54"/>
    <mergeCell ref="S48:S54"/>
    <mergeCell ref="A45:A47"/>
    <mergeCell ref="K45:K47"/>
    <mergeCell ref="L45:L47"/>
    <mergeCell ref="P45:P47"/>
    <mergeCell ref="Q45:Q47"/>
    <mergeCell ref="R45:R47"/>
    <mergeCell ref="A48:A54"/>
    <mergeCell ref="K48:K54"/>
    <mergeCell ref="L48:L54"/>
    <mergeCell ref="P48:P54"/>
    <mergeCell ref="Q48:Q54"/>
    <mergeCell ref="S41:S44"/>
    <mergeCell ref="T41:T44"/>
    <mergeCell ref="S45:S47"/>
    <mergeCell ref="T45:T47"/>
    <mergeCell ref="U45:U47"/>
    <mergeCell ref="U41:U44"/>
    <mergeCell ref="A16:A37"/>
    <mergeCell ref="A38:B39"/>
    <mergeCell ref="K38:L38"/>
    <mergeCell ref="A41:A44"/>
    <mergeCell ref="K41:K44"/>
    <mergeCell ref="L41:L44"/>
    <mergeCell ref="P4:P37"/>
    <mergeCell ref="Q4:Q37"/>
    <mergeCell ref="R4:R37"/>
    <mergeCell ref="S4:S37"/>
    <mergeCell ref="T4:T37"/>
    <mergeCell ref="U4:U37"/>
    <mergeCell ref="P41:P44"/>
    <mergeCell ref="Q41:Q44"/>
    <mergeCell ref="R41:R44"/>
    <mergeCell ref="M2:O2"/>
    <mergeCell ref="P2:Q2"/>
    <mergeCell ref="R2:S2"/>
    <mergeCell ref="T2:U2"/>
    <mergeCell ref="A4:A15"/>
    <mergeCell ref="K4:K37"/>
    <mergeCell ref="L4:L37"/>
    <mergeCell ref="M4:M37"/>
    <mergeCell ref="N4:N37"/>
    <mergeCell ref="O4:O37"/>
    <mergeCell ref="A1:L1"/>
    <mergeCell ref="A2:A3"/>
    <mergeCell ref="B2:B3"/>
    <mergeCell ref="C2:G2"/>
    <mergeCell ref="H2:J2"/>
    <mergeCell ref="K2:L2"/>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EB65-036F-F241-ACFE-285803D99E0C}">
  <dimension ref="B1:O27"/>
  <sheetViews>
    <sheetView tabSelected="1" workbookViewId="0">
      <selection activeCell="C24" sqref="C24"/>
    </sheetView>
  </sheetViews>
  <sheetFormatPr baseColWidth="10" defaultRowHeight="13"/>
  <sheetData>
    <row r="1" spans="2:15" ht="14" thickBot="1"/>
    <row r="2" spans="2:15" ht="16">
      <c r="B2" s="103" t="s">
        <v>115</v>
      </c>
      <c r="C2" s="105" t="s">
        <v>1</v>
      </c>
      <c r="D2" s="107" t="s">
        <v>123</v>
      </c>
      <c r="E2" s="108"/>
      <c r="F2" s="109" t="s">
        <v>116</v>
      </c>
      <c r="G2" s="110"/>
    </row>
    <row r="3" spans="2:15" ht="17" thickBot="1">
      <c r="B3" s="104"/>
      <c r="C3" s="106"/>
      <c r="D3" s="39" t="s">
        <v>117</v>
      </c>
      <c r="E3" s="40" t="s">
        <v>18</v>
      </c>
      <c r="F3" s="56" t="s">
        <v>117</v>
      </c>
      <c r="G3" s="57" t="s">
        <v>18</v>
      </c>
    </row>
    <row r="4" spans="2:15" ht="16">
      <c r="B4" s="41" t="s">
        <v>118</v>
      </c>
      <c r="C4" s="42">
        <v>5.9</v>
      </c>
      <c r="D4" s="43">
        <v>110</v>
      </c>
      <c r="E4" s="44">
        <v>88</v>
      </c>
      <c r="F4" s="43">
        <v>143</v>
      </c>
      <c r="G4" s="44">
        <v>88</v>
      </c>
    </row>
    <row r="5" spans="2:15" ht="16">
      <c r="B5" s="45" t="s">
        <v>119</v>
      </c>
      <c r="C5" s="46">
        <v>2.9</v>
      </c>
      <c r="D5" s="47">
        <v>55.5</v>
      </c>
      <c r="E5" s="48">
        <v>26</v>
      </c>
      <c r="F5" s="58">
        <v>54</v>
      </c>
      <c r="G5" s="59">
        <v>27</v>
      </c>
    </row>
    <row r="6" spans="2:15" ht="16">
      <c r="B6" s="45" t="s">
        <v>139</v>
      </c>
      <c r="C6" s="46">
        <v>0.35</v>
      </c>
      <c r="D6" s="47">
        <v>7</v>
      </c>
      <c r="E6" s="48">
        <v>0</v>
      </c>
      <c r="F6" s="58">
        <v>0</v>
      </c>
      <c r="G6" s="59">
        <v>0</v>
      </c>
    </row>
    <row r="7" spans="2:15" ht="17" thickBot="1">
      <c r="B7" s="50" t="s">
        <v>121</v>
      </c>
      <c r="C7" s="51">
        <v>12.45</v>
      </c>
      <c r="D7" s="47">
        <v>243.5</v>
      </c>
      <c r="E7" s="48">
        <v>161</v>
      </c>
      <c r="F7" s="58">
        <v>230</v>
      </c>
      <c r="G7" s="59">
        <v>125</v>
      </c>
    </row>
    <row r="8" spans="2:15" ht="17" thickBot="1">
      <c r="B8" s="52" t="s">
        <v>122</v>
      </c>
      <c r="C8" s="53">
        <f>SUM(C4:C7)</f>
        <v>21.6</v>
      </c>
      <c r="D8" s="54">
        <f>SUM(D4:D7)</f>
        <v>416</v>
      </c>
      <c r="E8" s="54">
        <f>SUM(E4:E7)</f>
        <v>275</v>
      </c>
      <c r="F8" s="60">
        <f>SUM(F4:F7)</f>
        <v>427</v>
      </c>
      <c r="G8" s="60">
        <f>SUM(G4:G7)</f>
        <v>240</v>
      </c>
    </row>
    <row r="11" spans="2:15" ht="14" thickBot="1"/>
    <row r="12" spans="2:15" ht="16">
      <c r="B12" s="103" t="s">
        <v>115</v>
      </c>
      <c r="C12" s="111" t="s">
        <v>1</v>
      </c>
      <c r="D12" s="107" t="s">
        <v>124</v>
      </c>
      <c r="E12" s="108"/>
      <c r="F12" s="107" t="s">
        <v>105</v>
      </c>
      <c r="G12" s="108"/>
      <c r="H12" s="107" t="s">
        <v>104</v>
      </c>
      <c r="I12" s="108"/>
      <c r="J12" s="107" t="s">
        <v>39</v>
      </c>
      <c r="K12" s="108"/>
      <c r="L12" s="107" t="s">
        <v>54</v>
      </c>
      <c r="M12" s="108"/>
      <c r="N12" s="107" t="s">
        <v>125</v>
      </c>
      <c r="O12" s="108"/>
    </row>
    <row r="13" spans="2:15" ht="17" thickBot="1">
      <c r="B13" s="104"/>
      <c r="C13" s="112"/>
      <c r="D13" s="39" t="s">
        <v>117</v>
      </c>
      <c r="E13" s="40" t="s">
        <v>18</v>
      </c>
      <c r="F13" s="39" t="s">
        <v>117</v>
      </c>
      <c r="G13" s="40" t="s">
        <v>18</v>
      </c>
      <c r="H13" s="39" t="s">
        <v>117</v>
      </c>
      <c r="I13" s="40" t="s">
        <v>18</v>
      </c>
      <c r="J13" s="39" t="s">
        <v>117</v>
      </c>
      <c r="K13" s="40" t="s">
        <v>18</v>
      </c>
      <c r="L13" s="39" t="s">
        <v>117</v>
      </c>
      <c r="M13" s="40" t="s">
        <v>18</v>
      </c>
      <c r="N13" s="62" t="s">
        <v>117</v>
      </c>
      <c r="O13" s="40" t="s">
        <v>18</v>
      </c>
    </row>
    <row r="14" spans="2:15" ht="16">
      <c r="B14" s="41" t="s">
        <v>118</v>
      </c>
      <c r="C14" s="42">
        <v>5.9</v>
      </c>
      <c r="D14" s="63">
        <f>FE!H41</f>
        <v>9</v>
      </c>
      <c r="E14" s="44">
        <f>[1]FE!L40</f>
        <v>0</v>
      </c>
      <c r="F14" s="43">
        <v>1</v>
      </c>
      <c r="G14" s="49">
        <v>0</v>
      </c>
      <c r="H14" s="43">
        <v>0</v>
      </c>
      <c r="I14" s="49">
        <v>0</v>
      </c>
      <c r="J14" s="43">
        <f>[1]FE!K47</f>
        <v>2</v>
      </c>
      <c r="K14" s="49">
        <v>0</v>
      </c>
      <c r="L14" s="43">
        <f>[1]FE!K31</f>
        <v>1.5</v>
      </c>
      <c r="M14" s="49">
        <v>0</v>
      </c>
      <c r="N14" s="64">
        <v>0</v>
      </c>
      <c r="O14" s="49">
        <f>[1]FE!L55</f>
        <v>0</v>
      </c>
    </row>
    <row r="15" spans="2:15" ht="16">
      <c r="B15" s="45" t="s">
        <v>119</v>
      </c>
      <c r="C15" s="46">
        <v>2.9</v>
      </c>
      <c r="D15" s="47">
        <f>LNF!H40</f>
        <v>4.5</v>
      </c>
      <c r="E15" s="48">
        <v>0</v>
      </c>
      <c r="F15" s="47">
        <v>0</v>
      </c>
      <c r="G15" s="48">
        <v>0</v>
      </c>
      <c r="H15" s="47">
        <v>0</v>
      </c>
      <c r="I15" s="48">
        <v>0</v>
      </c>
      <c r="J15" s="47">
        <v>0</v>
      </c>
      <c r="K15" s="48">
        <v>0</v>
      </c>
      <c r="L15" s="47">
        <f>[1]LNF!K33</f>
        <v>1.5</v>
      </c>
      <c r="M15" s="48">
        <v>0</v>
      </c>
      <c r="N15" s="65">
        <v>0</v>
      </c>
      <c r="O15" s="48">
        <v>0</v>
      </c>
    </row>
    <row r="16" spans="2:15" ht="16">
      <c r="B16" s="41" t="s">
        <v>120</v>
      </c>
      <c r="C16" s="42">
        <v>0.35</v>
      </c>
      <c r="D16" s="43">
        <f>PG!B6</f>
        <v>0.5</v>
      </c>
      <c r="E16" s="49">
        <v>0</v>
      </c>
      <c r="F16" s="43">
        <v>0</v>
      </c>
      <c r="G16" s="49">
        <v>0</v>
      </c>
      <c r="H16" s="43">
        <v>0</v>
      </c>
      <c r="I16" s="49">
        <v>0</v>
      </c>
      <c r="J16" s="43">
        <v>0</v>
      </c>
      <c r="K16" s="49">
        <v>0</v>
      </c>
      <c r="L16" s="43">
        <v>0</v>
      </c>
      <c r="M16" s="49">
        <v>0</v>
      </c>
      <c r="N16" s="64">
        <v>0</v>
      </c>
      <c r="O16" s="49">
        <v>0</v>
      </c>
    </row>
    <row r="17" spans="2:15" ht="17" thickBot="1">
      <c r="B17" s="50" t="s">
        <v>121</v>
      </c>
      <c r="C17" s="51">
        <v>12.45</v>
      </c>
      <c r="D17" s="66">
        <f>TO!K48</f>
        <v>23</v>
      </c>
      <c r="E17" s="67">
        <v>0</v>
      </c>
      <c r="F17" s="47">
        <f>TO!K45</f>
        <v>2.5</v>
      </c>
      <c r="G17" s="48">
        <v>0</v>
      </c>
      <c r="H17" s="47">
        <v>0</v>
      </c>
      <c r="I17" s="48">
        <v>0</v>
      </c>
      <c r="J17" s="47">
        <v>0</v>
      </c>
      <c r="K17" s="48">
        <v>5</v>
      </c>
      <c r="L17" s="47">
        <v>0</v>
      </c>
      <c r="M17" s="48">
        <v>0</v>
      </c>
      <c r="N17" s="65">
        <v>0</v>
      </c>
      <c r="O17" s="48">
        <v>0</v>
      </c>
    </row>
    <row r="18" spans="2:15" ht="17" thickBot="1">
      <c r="B18" s="52" t="s">
        <v>122</v>
      </c>
      <c r="C18" s="53">
        <f>SUM(C14:C17)</f>
        <v>21.6</v>
      </c>
      <c r="D18" s="54">
        <f>SUM(D14:D17)</f>
        <v>37</v>
      </c>
      <c r="E18" s="55">
        <f>SUM(E14:E17)</f>
        <v>0</v>
      </c>
      <c r="F18" s="54">
        <f t="shared" ref="F18:O18" si="0">SUM(F14:F17)</f>
        <v>3.5</v>
      </c>
      <c r="G18" s="55">
        <f t="shared" si="0"/>
        <v>0</v>
      </c>
      <c r="H18" s="54">
        <f t="shared" si="0"/>
        <v>0</v>
      </c>
      <c r="I18" s="55">
        <f t="shared" si="0"/>
        <v>0</v>
      </c>
      <c r="J18" s="54">
        <f t="shared" si="0"/>
        <v>2</v>
      </c>
      <c r="K18" s="55">
        <f t="shared" si="0"/>
        <v>5</v>
      </c>
      <c r="L18" s="54">
        <f t="shared" si="0"/>
        <v>3</v>
      </c>
      <c r="M18" s="55">
        <f t="shared" si="0"/>
        <v>0</v>
      </c>
      <c r="N18" s="68">
        <f t="shared" si="0"/>
        <v>0</v>
      </c>
      <c r="O18" s="55">
        <f t="shared" si="0"/>
        <v>0</v>
      </c>
    </row>
    <row r="20" spans="2:15" ht="14" thickBot="1"/>
    <row r="21" spans="2:15" ht="16">
      <c r="B21" s="103" t="s">
        <v>115</v>
      </c>
      <c r="C21" s="111" t="s">
        <v>1</v>
      </c>
      <c r="D21" s="107" t="s">
        <v>140</v>
      </c>
      <c r="E21" s="108"/>
      <c r="F21" s="109" t="s">
        <v>58</v>
      </c>
      <c r="G21" s="110"/>
    </row>
    <row r="22" spans="2:15" ht="17" thickBot="1">
      <c r="B22" s="104"/>
      <c r="C22" s="112"/>
      <c r="D22" s="39" t="s">
        <v>117</v>
      </c>
      <c r="E22" s="40" t="s">
        <v>18</v>
      </c>
      <c r="F22" s="56" t="s">
        <v>117</v>
      </c>
      <c r="G22" s="57" t="s">
        <v>18</v>
      </c>
    </row>
    <row r="23" spans="2:15" ht="16">
      <c r="B23" s="41" t="s">
        <v>118</v>
      </c>
      <c r="C23" s="42">
        <v>5.9</v>
      </c>
      <c r="D23" s="43">
        <f>D4+D14+F14+H14+J14+L14+N14</f>
        <v>123.5</v>
      </c>
      <c r="E23" s="44">
        <f t="shared" ref="E23:E25" si="1">E4+E14+G14+I14+K14+M14+O14</f>
        <v>88</v>
      </c>
      <c r="F23" s="43">
        <v>177</v>
      </c>
      <c r="G23" s="44">
        <v>110.5</v>
      </c>
    </row>
    <row r="24" spans="2:15" ht="16">
      <c r="B24" s="45" t="s">
        <v>119</v>
      </c>
      <c r="C24" s="46">
        <v>2.9</v>
      </c>
      <c r="D24" s="47">
        <f>D5+D15+F15+H15+J15+L15+N15</f>
        <v>61.5</v>
      </c>
      <c r="E24" s="48">
        <f t="shared" si="1"/>
        <v>26</v>
      </c>
      <c r="F24" s="58">
        <v>64.5</v>
      </c>
      <c r="G24" s="59">
        <v>25.5</v>
      </c>
    </row>
    <row r="25" spans="2:15" ht="16">
      <c r="B25" s="41" t="s">
        <v>120</v>
      </c>
      <c r="C25" s="42">
        <v>0.35</v>
      </c>
      <c r="D25" s="43">
        <f>D6+D16+F16+H16+J16+L16+N16</f>
        <v>7.5</v>
      </c>
      <c r="E25" s="49">
        <f t="shared" si="1"/>
        <v>0</v>
      </c>
      <c r="F25" s="43">
        <v>0</v>
      </c>
      <c r="G25" s="49">
        <v>0</v>
      </c>
    </row>
    <row r="26" spans="2:15" ht="17" thickBot="1">
      <c r="B26" s="50" t="s">
        <v>121</v>
      </c>
      <c r="C26" s="51">
        <v>12.45</v>
      </c>
      <c r="D26" s="47">
        <f>D7+D17+F17+H17+J17+L17+N17</f>
        <v>269</v>
      </c>
      <c r="E26" s="48">
        <f>E7+E17+G17+I17+K17+M17+O17</f>
        <v>166</v>
      </c>
      <c r="F26" s="58">
        <v>267</v>
      </c>
      <c r="G26" s="59">
        <v>124</v>
      </c>
    </row>
    <row r="27" spans="2:15" ht="17" thickBot="1">
      <c r="B27" s="52" t="s">
        <v>122</v>
      </c>
      <c r="C27" s="53">
        <f>SUM(C23:C26)</f>
        <v>21.6</v>
      </c>
      <c r="D27" s="54">
        <f>SUM(D23:D26)</f>
        <v>461.5</v>
      </c>
      <c r="E27" s="55">
        <f>SUM(E23:E26)</f>
        <v>280</v>
      </c>
      <c r="F27" s="60">
        <f>SUM(F23:F26)</f>
        <v>508.5</v>
      </c>
      <c r="G27" s="61">
        <f>SUM(G23:G26)</f>
        <v>260</v>
      </c>
    </row>
  </sheetData>
  <mergeCells count="16">
    <mergeCell ref="H12:I12"/>
    <mergeCell ref="J12:K12"/>
    <mergeCell ref="L12:M12"/>
    <mergeCell ref="N12:O12"/>
    <mergeCell ref="B21:B22"/>
    <mergeCell ref="C21:C22"/>
    <mergeCell ref="D21:E21"/>
    <mergeCell ref="F21:G21"/>
    <mergeCell ref="B2:B3"/>
    <mergeCell ref="C2:C3"/>
    <mergeCell ref="D2:E2"/>
    <mergeCell ref="F2:G2"/>
    <mergeCell ref="B12:B13"/>
    <mergeCell ref="C12:C13"/>
    <mergeCell ref="D12:E12"/>
    <mergeCell ref="F12:G1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FE</vt:lpstr>
      <vt:lpstr>LNF</vt:lpstr>
      <vt:lpstr>PG</vt:lpstr>
      <vt:lpstr>TO</vt:lpstr>
      <vt:lpstr>BESIII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Gianluigi Cibinetto</cp:lastModifiedBy>
  <cp:lastPrinted>2020-07-13T10:08:47Z</cp:lastPrinted>
  <dcterms:created xsi:type="dcterms:W3CDTF">2019-08-20T10:20:41Z</dcterms:created>
  <dcterms:modified xsi:type="dcterms:W3CDTF">2020-09-13T13:39:23Z</dcterms:modified>
</cp:coreProperties>
</file>