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0" yWindow="0" windowWidth="20376" windowHeight="12816" tabRatio="676" firstSheet="2" activeTab="4"/>
  </bookViews>
  <sheets>
    <sheet name="Strip Components cost" sheetId="2" r:id="rId1"/>
    <sheet name="Strip Yields + Preproduction" sheetId="3" r:id="rId2"/>
    <sheet name="Strip Calculations of Size" sheetId="17" r:id="rId3"/>
    <sheet name="Strip Summary Core Costs" sheetId="15" r:id="rId4"/>
    <sheet name="PixelContributionsITALY" sheetId="19" r:id="rId5"/>
    <sheet name="CommonItemsITALY" sheetId="20" r:id="rId6"/>
    <sheet name="FA Core Summary" sheetId="21" r:id="rId7"/>
  </sheets>
  <calcPr calcId="145621" fullPrecision="0" concurrentCalc="0"/>
  <extLst>
    <ext xmlns:mx="http://schemas.microsoft.com/office/mac/excel/2008/main" uri="{7523E5D3-25F3-A5E0-1632-64F254C22452}">
      <mx:ArchID Flags="2"/>
    </ext>
  </extLst>
</workbook>
</file>

<file path=xl/calcChain.xml><?xml version="1.0" encoding="utf-8"?>
<calcChain xmlns="http://schemas.openxmlformats.org/spreadsheetml/2006/main">
  <c r="F21" i="20" l="1"/>
  <c r="F8" i="20"/>
  <c r="F26" i="20"/>
  <c r="F28" i="20"/>
  <c r="C28" i="20"/>
  <c r="C26" i="20"/>
  <c r="T4" i="17"/>
  <c r="R56" i="17"/>
  <c r="X4" i="17"/>
  <c r="E58" i="17"/>
  <c r="B49" i="17"/>
  <c r="B50" i="17"/>
  <c r="B58" i="17"/>
  <c r="C49" i="17"/>
  <c r="C50" i="17"/>
  <c r="C58" i="17"/>
  <c r="E8" i="17"/>
  <c r="E59" i="17"/>
  <c r="E9" i="17"/>
  <c r="B51" i="17"/>
  <c r="B59" i="17"/>
  <c r="C51" i="17"/>
  <c r="C59" i="17"/>
  <c r="E57" i="17"/>
  <c r="E10" i="17"/>
  <c r="B57" i="17"/>
  <c r="C57" i="17"/>
  <c r="D57" i="17"/>
  <c r="D10" i="17"/>
  <c r="E11" i="17"/>
  <c r="E12" i="17"/>
  <c r="E13" i="17"/>
  <c r="C15" i="17"/>
  <c r="R15" i="17"/>
  <c r="T15" i="17"/>
  <c r="C16" i="17"/>
  <c r="R16" i="17"/>
  <c r="C17" i="17"/>
  <c r="R17" i="17"/>
  <c r="C18" i="17"/>
  <c r="R18" i="17"/>
  <c r="C19" i="17"/>
  <c r="R19" i="17"/>
  <c r="C20" i="17"/>
  <c r="R20" i="17"/>
  <c r="X20" i="17"/>
  <c r="E61" i="17"/>
  <c r="E29" i="17"/>
  <c r="B53" i="17"/>
  <c r="B61" i="17"/>
  <c r="C53" i="17"/>
  <c r="C61" i="17"/>
  <c r="E56" i="17"/>
  <c r="E6" i="17"/>
  <c r="B56" i="17"/>
  <c r="C56" i="17"/>
  <c r="D56" i="17"/>
  <c r="F56" i="17"/>
  <c r="C6" i="17"/>
  <c r="R6" i="17"/>
  <c r="X6" i="17"/>
  <c r="D6" i="17"/>
  <c r="Q6" i="17"/>
  <c r="C5" i="17"/>
  <c r="O56" i="17"/>
  <c r="P56" i="17"/>
  <c r="Q56" i="17"/>
  <c r="W4" i="17"/>
  <c r="C21" i="17"/>
  <c r="C22" i="17"/>
  <c r="Q22" i="17"/>
  <c r="S22" i="17"/>
  <c r="C23" i="17"/>
  <c r="Q23" i="17"/>
  <c r="W23" i="17"/>
  <c r="C24" i="17"/>
  <c r="Q24" i="17"/>
  <c r="C25" i="17"/>
  <c r="C26" i="17"/>
  <c r="Q26" i="17"/>
  <c r="V3" i="17"/>
  <c r="V4" i="17"/>
  <c r="V35" i="17"/>
  <c r="E14" i="17"/>
  <c r="C14" i="17"/>
  <c r="R14" i="17"/>
  <c r="V14" i="17"/>
  <c r="V16" i="17"/>
  <c r="V20" i="17"/>
  <c r="E21" i="17"/>
  <c r="E22" i="17"/>
  <c r="R22" i="17"/>
  <c r="V22" i="17"/>
  <c r="E23" i="17"/>
  <c r="R23" i="17"/>
  <c r="V23" i="17"/>
  <c r="E24" i="17"/>
  <c r="R24" i="17"/>
  <c r="V24" i="17"/>
  <c r="E25" i="17"/>
  <c r="E26" i="17"/>
  <c r="R26" i="17"/>
  <c r="V26" i="17"/>
  <c r="E27" i="17"/>
  <c r="C27" i="17"/>
  <c r="R27" i="17"/>
  <c r="V27" i="17"/>
  <c r="E30" i="17"/>
  <c r="C30" i="17"/>
  <c r="R30" i="17"/>
  <c r="V30" i="17"/>
  <c r="E60" i="17"/>
  <c r="E31" i="17"/>
  <c r="B60" i="17"/>
  <c r="C60" i="17"/>
  <c r="D60" i="17"/>
  <c r="F60" i="17"/>
  <c r="C31" i="17"/>
  <c r="R31" i="17"/>
  <c r="E32" i="17"/>
  <c r="C32" i="17"/>
  <c r="R32" i="17"/>
  <c r="V32" i="17"/>
  <c r="E33" i="17"/>
  <c r="C33" i="17"/>
  <c r="R33" i="17"/>
  <c r="T33" i="17"/>
  <c r="V33" i="17"/>
  <c r="U4" i="17"/>
  <c r="U24" i="17"/>
  <c r="D14" i="17"/>
  <c r="Q14" i="17"/>
  <c r="D15" i="17"/>
  <c r="Q15" i="17"/>
  <c r="U15" i="17"/>
  <c r="D16" i="17"/>
  <c r="Q16" i="17"/>
  <c r="S16" i="17"/>
  <c r="U16" i="17"/>
  <c r="D17" i="17"/>
  <c r="Q17" i="17"/>
  <c r="U17" i="17"/>
  <c r="D18" i="17"/>
  <c r="Q18" i="17"/>
  <c r="U18" i="17"/>
  <c r="D19" i="17"/>
  <c r="Q19" i="17"/>
  <c r="D20" i="17"/>
  <c r="Q20" i="17"/>
  <c r="S20" i="17"/>
  <c r="U23" i="17"/>
  <c r="D27" i="17"/>
  <c r="Q27" i="17"/>
  <c r="U27" i="17"/>
  <c r="D30" i="17"/>
  <c r="Q30" i="17"/>
  <c r="U30" i="17"/>
  <c r="D31" i="17"/>
  <c r="Q31" i="17"/>
  <c r="D32" i="17"/>
  <c r="Q32" i="17"/>
  <c r="S32" i="17"/>
  <c r="D33" i="17"/>
  <c r="Q33" i="17"/>
  <c r="S33" i="17"/>
  <c r="U33" i="17"/>
  <c r="T14" i="17"/>
  <c r="T16" i="17"/>
  <c r="T18" i="17"/>
  <c r="T19" i="17"/>
  <c r="T20" i="17"/>
  <c r="T22" i="17"/>
  <c r="T23" i="17"/>
  <c r="T24" i="17"/>
  <c r="T27" i="17"/>
  <c r="T30" i="17"/>
  <c r="T35" i="17"/>
  <c r="E37" i="17"/>
  <c r="C37" i="17"/>
  <c r="R37" i="17"/>
  <c r="T37" i="17"/>
  <c r="E38" i="17"/>
  <c r="C38" i="17"/>
  <c r="E62" i="17"/>
  <c r="E39" i="17"/>
  <c r="C62" i="17"/>
  <c r="E40" i="17"/>
  <c r="S23" i="17"/>
  <c r="S26" i="17"/>
  <c r="S30" i="17"/>
  <c r="S35" i="17"/>
  <c r="D37" i="17"/>
  <c r="Q37" i="17"/>
  <c r="S37" i="17"/>
  <c r="D38" i="17"/>
  <c r="Q38" i="17"/>
  <c r="S38" i="17"/>
  <c r="O53" i="17"/>
  <c r="O61" i="17"/>
  <c r="O60" i="17"/>
  <c r="O49" i="17"/>
  <c r="O51" i="17"/>
  <c r="O59" i="17"/>
  <c r="P49" i="17"/>
  <c r="P51" i="17"/>
  <c r="P59" i="17"/>
  <c r="Q59" i="17"/>
  <c r="R59" i="17"/>
  <c r="S59" i="17"/>
  <c r="O50" i="17"/>
  <c r="O58" i="17"/>
  <c r="O57" i="17"/>
  <c r="P57" i="17"/>
  <c r="Q57" i="17"/>
  <c r="R57" i="17"/>
  <c r="S57" i="17"/>
  <c r="S3" i="17"/>
  <c r="T3" i="17"/>
  <c r="R4" i="17"/>
  <c r="R3" i="17"/>
  <c r="P62" i="17"/>
  <c r="R62" i="17"/>
  <c r="P53" i="17"/>
  <c r="P61" i="17"/>
  <c r="R61" i="17"/>
  <c r="P60" i="17"/>
  <c r="Q60" i="17"/>
  <c r="R60" i="17"/>
  <c r="S60" i="17"/>
  <c r="P50" i="17"/>
  <c r="P58" i="17"/>
  <c r="Q58" i="17"/>
  <c r="R58" i="17"/>
  <c r="S58" i="17"/>
  <c r="S56" i="17"/>
  <c r="Z1" i="17"/>
  <c r="AA2" i="17"/>
  <c r="AB2" i="17"/>
  <c r="Q2" i="17"/>
  <c r="R2" i="17"/>
  <c r="S2" i="17"/>
  <c r="T2" i="17"/>
  <c r="U2" i="17"/>
  <c r="V2" i="17"/>
  <c r="W2" i="17"/>
  <c r="X2" i="17"/>
  <c r="Y2" i="17"/>
  <c r="Z2" i="17"/>
  <c r="P2" i="17"/>
  <c r="E3" i="19"/>
  <c r="G3" i="19"/>
  <c r="I3" i="19"/>
  <c r="D3" i="19"/>
  <c r="E4" i="19"/>
  <c r="G4" i="19"/>
  <c r="I4" i="19"/>
  <c r="D4" i="19"/>
  <c r="E5" i="19"/>
  <c r="G5" i="19"/>
  <c r="I5" i="19"/>
  <c r="D5" i="19"/>
  <c r="K5" i="19"/>
  <c r="E6" i="19"/>
  <c r="G6" i="19"/>
  <c r="I6" i="19"/>
  <c r="D6" i="19"/>
  <c r="K6" i="19"/>
  <c r="E7" i="19"/>
  <c r="G7" i="19"/>
  <c r="I7" i="19"/>
  <c r="D7" i="19"/>
  <c r="E8" i="19"/>
  <c r="G8" i="19"/>
  <c r="I8" i="19"/>
  <c r="E9" i="19"/>
  <c r="G9" i="19"/>
  <c r="I9" i="19"/>
  <c r="D9" i="19"/>
  <c r="E10" i="19"/>
  <c r="G10" i="19"/>
  <c r="I10" i="19"/>
  <c r="E11" i="19"/>
  <c r="G11" i="19"/>
  <c r="I11" i="19"/>
  <c r="D11" i="19"/>
  <c r="D12" i="19"/>
  <c r="D13" i="19"/>
  <c r="K13" i="19"/>
  <c r="E14" i="19"/>
  <c r="G14" i="19"/>
  <c r="I14" i="19"/>
  <c r="D14" i="19"/>
  <c r="K14" i="19"/>
  <c r="C3" i="21"/>
  <c r="J14" i="19"/>
  <c r="J13" i="19"/>
  <c r="F14" i="19"/>
  <c r="H14" i="19"/>
  <c r="F13" i="19"/>
  <c r="I15" i="19"/>
  <c r="H13" i="19"/>
  <c r="D14" i="2"/>
  <c r="F14" i="2"/>
  <c r="C2" i="15"/>
  <c r="E2" i="15"/>
  <c r="F2" i="15"/>
  <c r="G2" i="15"/>
  <c r="D15" i="2"/>
  <c r="F15" i="2"/>
  <c r="C3" i="15"/>
  <c r="E3" i="15"/>
  <c r="Q15" i="3"/>
  <c r="B3" i="3"/>
  <c r="K15" i="3"/>
  <c r="C4" i="3"/>
  <c r="H16" i="3"/>
  <c r="F4" i="3"/>
  <c r="F3" i="15"/>
  <c r="D5" i="2"/>
  <c r="F5" i="2"/>
  <c r="C4" i="15"/>
  <c r="E4" i="15"/>
  <c r="F4" i="15"/>
  <c r="G4" i="15"/>
  <c r="N6" i="15"/>
  <c r="B7" i="2"/>
  <c r="D7" i="2"/>
  <c r="F7" i="2"/>
  <c r="C5" i="15"/>
  <c r="E16" i="3"/>
  <c r="B12" i="3"/>
  <c r="B11" i="2"/>
  <c r="D11" i="2"/>
  <c r="F11" i="2"/>
  <c r="C6" i="15"/>
  <c r="D18" i="2"/>
  <c r="F18" i="2"/>
  <c r="C7" i="15"/>
  <c r="E15" i="3"/>
  <c r="G5" i="3"/>
  <c r="F9" i="15"/>
  <c r="D19" i="2"/>
  <c r="F19" i="2"/>
  <c r="C8" i="15"/>
  <c r="B20" i="2"/>
  <c r="D20" i="2"/>
  <c r="F20" i="2"/>
  <c r="C9" i="15"/>
  <c r="D21" i="2"/>
  <c r="F21" i="2"/>
  <c r="C10" i="15"/>
  <c r="D24" i="2"/>
  <c r="F24" i="2"/>
  <c r="C11" i="15"/>
  <c r="E11" i="15"/>
  <c r="D38" i="2"/>
  <c r="F38" i="2"/>
  <c r="C12" i="15"/>
  <c r="E12" i="15"/>
  <c r="D39" i="2"/>
  <c r="F39" i="2"/>
  <c r="C13" i="15"/>
  <c r="E13" i="15"/>
  <c r="K16" i="3"/>
  <c r="B40" i="2"/>
  <c r="D40" i="2"/>
  <c r="E14" i="15"/>
  <c r="D41" i="2"/>
  <c r="F41" i="2"/>
  <c r="C15" i="15"/>
  <c r="E15" i="15"/>
  <c r="D42" i="2"/>
  <c r="F42" i="2"/>
  <c r="C16" i="15"/>
  <c r="E16" i="15"/>
  <c r="E17" i="15"/>
  <c r="B46" i="2"/>
  <c r="D46" i="2"/>
  <c r="F46" i="2"/>
  <c r="C18" i="15"/>
  <c r="E18" i="15"/>
  <c r="B47" i="2"/>
  <c r="D47" i="2"/>
  <c r="F47" i="2"/>
  <c r="C19" i="15"/>
  <c r="E19" i="15"/>
  <c r="B48" i="2"/>
  <c r="D48" i="2"/>
  <c r="F48" i="2"/>
  <c r="C20" i="15"/>
  <c r="E20" i="15"/>
  <c r="D49" i="2"/>
  <c r="F49" i="2"/>
  <c r="C21" i="15"/>
  <c r="E21" i="15"/>
  <c r="B50" i="2"/>
  <c r="D50" i="2"/>
  <c r="F50" i="2"/>
  <c r="C22" i="15"/>
  <c r="E22" i="15"/>
  <c r="E23" i="15"/>
  <c r="D25" i="2"/>
  <c r="F25" i="2"/>
  <c r="C24" i="15"/>
  <c r="E24" i="15"/>
  <c r="N15" i="3"/>
  <c r="E4" i="3"/>
  <c r="F25" i="15"/>
  <c r="F24" i="15"/>
  <c r="D29" i="2"/>
  <c r="F29" i="2"/>
  <c r="C25" i="15"/>
  <c r="B9" i="2"/>
  <c r="D9" i="2"/>
  <c r="F9" i="2"/>
  <c r="C26" i="15"/>
  <c r="D32" i="2"/>
  <c r="F32" i="2"/>
  <c r="C27" i="15"/>
  <c r="E27" i="15"/>
  <c r="D33" i="2"/>
  <c r="F33" i="2"/>
  <c r="C28" i="15"/>
  <c r="E28" i="15"/>
  <c r="F28" i="15"/>
  <c r="G28" i="15"/>
  <c r="N19" i="15"/>
  <c r="D34" i="2"/>
  <c r="F34" i="2"/>
  <c r="C29" i="15"/>
  <c r="E29" i="15"/>
  <c r="D35" i="2"/>
  <c r="F35" i="2"/>
  <c r="C30" i="15"/>
  <c r="E30" i="15"/>
  <c r="F30" i="15"/>
  <c r="G30" i="15"/>
  <c r="D28" i="2"/>
  <c r="F28" i="2"/>
  <c r="C31" i="15"/>
  <c r="C32" i="15"/>
  <c r="E32" i="15"/>
  <c r="G32" i="15"/>
  <c r="D56" i="2"/>
  <c r="F56" i="2"/>
  <c r="C33" i="15"/>
  <c r="E33" i="15"/>
  <c r="G33" i="15"/>
  <c r="N17" i="15"/>
  <c r="D57" i="2"/>
  <c r="F57" i="2"/>
  <c r="C34" i="15"/>
  <c r="E34" i="15"/>
  <c r="G34" i="15"/>
  <c r="N22" i="15"/>
  <c r="D59" i="2"/>
  <c r="F59" i="2"/>
  <c r="C35" i="15"/>
  <c r="E35" i="15"/>
  <c r="G35" i="15"/>
  <c r="N23" i="15"/>
  <c r="B60" i="2"/>
  <c r="D60" i="2"/>
  <c r="F60" i="2"/>
  <c r="C36" i="15"/>
  <c r="B61" i="2"/>
  <c r="D61" i="2"/>
  <c r="F61" i="2"/>
  <c r="C37" i="15"/>
  <c r="D62" i="2"/>
  <c r="F62" i="2"/>
  <c r="C38" i="15"/>
  <c r="E38" i="15"/>
  <c r="G38" i="15"/>
  <c r="N24" i="15"/>
  <c r="F3" i="20"/>
  <c r="F4" i="20"/>
  <c r="F12" i="20"/>
  <c r="F20" i="20"/>
  <c r="F22" i="20"/>
  <c r="F25" i="20"/>
  <c r="B3" i="21"/>
  <c r="D3" i="21"/>
  <c r="E3" i="21"/>
  <c r="F5" i="17"/>
  <c r="G4" i="17"/>
  <c r="G6" i="17"/>
  <c r="G5" i="17"/>
  <c r="F6" i="17"/>
  <c r="G9" i="17"/>
  <c r="F10" i="17"/>
  <c r="G11" i="17"/>
  <c r="G13" i="17"/>
  <c r="F14" i="17"/>
  <c r="F15" i="17"/>
  <c r="G15" i="17"/>
  <c r="F16" i="17"/>
  <c r="F17" i="17"/>
  <c r="G17" i="17"/>
  <c r="F18" i="17"/>
  <c r="F19" i="17"/>
  <c r="G19" i="17"/>
  <c r="F20" i="17"/>
  <c r="F21" i="17"/>
  <c r="G21" i="17"/>
  <c r="F22" i="17"/>
  <c r="F23" i="17"/>
  <c r="G23" i="17"/>
  <c r="F24" i="17"/>
  <c r="F25" i="17"/>
  <c r="G25" i="17"/>
  <c r="F26" i="17"/>
  <c r="F27" i="17"/>
  <c r="G27" i="17"/>
  <c r="G29" i="17"/>
  <c r="F30" i="17"/>
  <c r="F31" i="17"/>
  <c r="G31" i="17"/>
  <c r="F32" i="17"/>
  <c r="F33" i="17"/>
  <c r="G33" i="17"/>
  <c r="F37" i="17"/>
  <c r="F38" i="17"/>
  <c r="G38" i="17"/>
  <c r="G40" i="17"/>
  <c r="G3" i="17"/>
  <c r="F3" i="17"/>
  <c r="B24" i="3"/>
  <c r="H17" i="3"/>
  <c r="B21" i="3"/>
  <c r="B23" i="3"/>
  <c r="B20" i="3"/>
  <c r="L6" i="17"/>
  <c r="L10" i="17"/>
  <c r="L14" i="17"/>
  <c r="L15" i="17"/>
  <c r="L16" i="17"/>
  <c r="L17" i="17"/>
  <c r="L18" i="17"/>
  <c r="L19" i="17"/>
  <c r="L20" i="17"/>
  <c r="L21" i="17"/>
  <c r="L22" i="17"/>
  <c r="L23" i="17"/>
  <c r="L24" i="17"/>
  <c r="L25" i="17"/>
  <c r="L26" i="17"/>
  <c r="L27" i="17"/>
  <c r="L30" i="17"/>
  <c r="L32" i="17"/>
  <c r="L33" i="17"/>
  <c r="L35" i="17"/>
  <c r="L37" i="17"/>
  <c r="L38" i="17"/>
  <c r="L5" i="17"/>
  <c r="K4" i="17"/>
  <c r="K19" i="17"/>
  <c r="K5" i="17"/>
  <c r="J4" i="17"/>
  <c r="J26" i="17"/>
  <c r="I4" i="17"/>
  <c r="I26" i="17"/>
  <c r="I5" i="17"/>
  <c r="H4" i="17"/>
  <c r="H5" i="17"/>
  <c r="K29" i="17"/>
  <c r="J25" i="17"/>
  <c r="J24" i="17"/>
  <c r="J21" i="17"/>
  <c r="K20" i="17"/>
  <c r="K18" i="17"/>
  <c r="K17" i="17"/>
  <c r="K16" i="17"/>
  <c r="K13" i="17"/>
  <c r="K12" i="17"/>
  <c r="K11" i="17"/>
  <c r="K10" i="17"/>
  <c r="K8" i="17"/>
  <c r="K6" i="17"/>
  <c r="I33" i="17"/>
  <c r="I32" i="17"/>
  <c r="H32" i="17"/>
  <c r="I30" i="17"/>
  <c r="I29" i="17"/>
  <c r="I27" i="17"/>
  <c r="H27" i="17"/>
  <c r="H26" i="17"/>
  <c r="I25" i="17"/>
  <c r="H25" i="17"/>
  <c r="H24" i="17"/>
  <c r="I23" i="17"/>
  <c r="H23" i="17"/>
  <c r="H22" i="17"/>
  <c r="I21" i="17"/>
  <c r="H21" i="17"/>
  <c r="H20" i="17"/>
  <c r="I19" i="17"/>
  <c r="H19" i="17"/>
  <c r="H18" i="17"/>
  <c r="I17" i="17"/>
  <c r="H17" i="17"/>
  <c r="H16" i="17"/>
  <c r="I15" i="17"/>
  <c r="H15" i="17"/>
  <c r="H14" i="17"/>
  <c r="I12" i="17"/>
  <c r="I10" i="17"/>
  <c r="H10" i="17"/>
  <c r="I6" i="17"/>
  <c r="H6"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37" i="15"/>
  <c r="B38" i="15"/>
  <c r="B36" i="15"/>
  <c r="D58" i="2"/>
  <c r="F58" i="2"/>
  <c r="D4" i="2"/>
  <c r="F4" i="2"/>
  <c r="D55" i="2"/>
  <c r="B2" i="15"/>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H15" i="3"/>
  <c r="B27" i="3"/>
  <c r="B22" i="3"/>
  <c r="B26" i="3"/>
  <c r="B25" i="3"/>
  <c r="N3" i="2"/>
  <c r="N4" i="2"/>
  <c r="N5" i="2"/>
  <c r="I31" i="17"/>
  <c r="L31" i="17"/>
  <c r="H31" i="17"/>
  <c r="K9" i="17"/>
  <c r="I9" i="17"/>
  <c r="I8" i="17"/>
  <c r="I11" i="17"/>
  <c r="I13" i="17"/>
  <c r="B19" i="3"/>
  <c r="N4" i="15"/>
  <c r="D2" i="21"/>
  <c r="D4" i="21"/>
  <c r="D5" i="21"/>
  <c r="F12" i="15"/>
  <c r="G12" i="15"/>
  <c r="F11" i="15"/>
  <c r="G11" i="15"/>
  <c r="G24" i="15"/>
  <c r="N10" i="15"/>
  <c r="F18" i="15"/>
  <c r="F27" i="15"/>
  <c r="G27" i="15"/>
  <c r="N18" i="15"/>
  <c r="F40" i="2"/>
  <c r="C14" i="15"/>
  <c r="D43" i="2"/>
  <c r="F29" i="15"/>
  <c r="G29" i="15"/>
  <c r="N20" i="15"/>
  <c r="G18" i="15"/>
  <c r="J22" i="17"/>
  <c r="I14" i="17"/>
  <c r="I16" i="17"/>
  <c r="I18" i="17"/>
  <c r="I20" i="17"/>
  <c r="I22" i="17"/>
  <c r="I24" i="17"/>
  <c r="H30" i="17"/>
  <c r="H33" i="17"/>
  <c r="J6" i="17"/>
  <c r="J10" i="17"/>
  <c r="K15" i="17"/>
  <c r="J23" i="17"/>
  <c r="J5" i="17"/>
  <c r="G39" i="17"/>
  <c r="G37" i="17"/>
  <c r="G32" i="17"/>
  <c r="G30" i="17"/>
  <c r="G26" i="17"/>
  <c r="G24" i="17"/>
  <c r="G22" i="17"/>
  <c r="G20" i="17"/>
  <c r="G18" i="17"/>
  <c r="G16" i="17"/>
  <c r="G14" i="17"/>
  <c r="G12" i="17"/>
  <c r="G10" i="17"/>
  <c r="G8" i="17"/>
  <c r="F31" i="15"/>
  <c r="D4" i="3"/>
  <c r="D10" i="19"/>
  <c r="J10" i="19"/>
  <c r="K7" i="19"/>
  <c r="J7" i="19"/>
  <c r="F7" i="19"/>
  <c r="H7" i="19"/>
  <c r="G15" i="19"/>
  <c r="U31" i="17"/>
  <c r="S31" i="17"/>
  <c r="U19" i="17"/>
  <c r="S19" i="17"/>
  <c r="D51" i="2"/>
  <c r="F8" i="15"/>
  <c r="F7" i="15"/>
  <c r="G3" i="15"/>
  <c r="D8" i="19"/>
  <c r="D15" i="19"/>
  <c r="K3" i="19"/>
  <c r="J3" i="19"/>
  <c r="F3" i="19"/>
  <c r="Q61" i="17"/>
  <c r="S61" i="17"/>
  <c r="U14" i="17"/>
  <c r="S14" i="17"/>
  <c r="K11" i="19"/>
  <c r="J11" i="19"/>
  <c r="F11" i="19"/>
  <c r="K9" i="19"/>
  <c r="J9" i="19"/>
  <c r="F9" i="19"/>
  <c r="H9" i="19"/>
  <c r="K4" i="19"/>
  <c r="J4" i="19"/>
  <c r="V31" i="17"/>
  <c r="T31" i="17"/>
  <c r="W6" i="17"/>
  <c r="U6" i="17"/>
  <c r="S6" i="17"/>
  <c r="F10" i="15"/>
  <c r="H5" i="3"/>
  <c r="H6" i="3"/>
  <c r="F6" i="19"/>
  <c r="J6" i="19"/>
  <c r="H6" i="19"/>
  <c r="K12" i="19"/>
  <c r="J12" i="19"/>
  <c r="F12" i="19"/>
  <c r="H12" i="19"/>
  <c r="E15" i="19"/>
  <c r="F4" i="19"/>
  <c r="H4" i="19"/>
  <c r="S27" i="17"/>
  <c r="S17" i="17"/>
  <c r="T6" i="17"/>
  <c r="T26" i="17"/>
  <c r="U32" i="17"/>
  <c r="U20" i="17"/>
  <c r="V6" i="17"/>
  <c r="U26" i="17"/>
  <c r="W26" i="17"/>
  <c r="D61" i="17"/>
  <c r="V19" i="17"/>
  <c r="X19" i="17"/>
  <c r="X16" i="17"/>
  <c r="F5" i="19"/>
  <c r="J5" i="19"/>
  <c r="S15" i="17"/>
  <c r="Q21" i="17"/>
  <c r="R21" i="17"/>
  <c r="X18" i="17"/>
  <c r="Q25" i="17"/>
  <c r="R25" i="17"/>
  <c r="Q5" i="17"/>
  <c r="R5" i="17"/>
  <c r="V15" i="17"/>
  <c r="X15" i="17"/>
  <c r="D11" i="17"/>
  <c r="D13" i="17"/>
  <c r="F57" i="17"/>
  <c r="D12" i="17"/>
  <c r="S18" i="17"/>
  <c r="R38" i="17"/>
  <c r="T38" i="17"/>
  <c r="T32" i="17"/>
  <c r="W24" i="17"/>
  <c r="U22" i="17"/>
  <c r="W22" i="17"/>
  <c r="T17" i="17"/>
  <c r="V17" i="17"/>
  <c r="X17" i="17"/>
  <c r="D59" i="17"/>
  <c r="D58" i="17"/>
  <c r="V18" i="17"/>
  <c r="E28" i="17"/>
  <c r="O62" i="17"/>
  <c r="Q62" i="17"/>
  <c r="S62" i="17"/>
  <c r="S24" i="17"/>
  <c r="B62" i="17"/>
  <c r="D62" i="17"/>
  <c r="E34" i="17"/>
  <c r="V5" i="17"/>
  <c r="T5" i="17"/>
  <c r="F61" i="17"/>
  <c r="D29" i="17"/>
  <c r="D28" i="17"/>
  <c r="D34" i="17"/>
  <c r="X5" i="17"/>
  <c r="F58" i="17"/>
  <c r="D7" i="17"/>
  <c r="D8" i="17"/>
  <c r="F12" i="17"/>
  <c r="L12" i="17"/>
  <c r="J12" i="17"/>
  <c r="H12" i="17"/>
  <c r="V25" i="17"/>
  <c r="T25" i="17"/>
  <c r="F13" i="15"/>
  <c r="G13" i="15"/>
  <c r="F19" i="15"/>
  <c r="G19" i="15"/>
  <c r="F22" i="15"/>
  <c r="G22" i="15"/>
  <c r="F17" i="15"/>
  <c r="F14" i="15"/>
  <c r="F15" i="15"/>
  <c r="G15" i="15"/>
  <c r="F21" i="15"/>
  <c r="G21" i="15"/>
  <c r="N13" i="15"/>
  <c r="F20" i="15"/>
  <c r="G20" i="15"/>
  <c r="F23" i="15"/>
  <c r="F16" i="15"/>
  <c r="G16" i="15"/>
  <c r="F59" i="17"/>
  <c r="C9" i="17"/>
  <c r="D9" i="17"/>
  <c r="C10" i="17"/>
  <c r="C11" i="17"/>
  <c r="C12" i="17"/>
  <c r="Q12" i="17"/>
  <c r="C13" i="17"/>
  <c r="W25" i="17"/>
  <c r="S25" i="17"/>
  <c r="U25" i="17"/>
  <c r="V21" i="17"/>
  <c r="T21" i="17"/>
  <c r="H5" i="19"/>
  <c r="H11" i="19"/>
  <c r="F8" i="19"/>
  <c r="I34" i="17"/>
  <c r="G34" i="17"/>
  <c r="K34" i="17"/>
  <c r="W21" i="17"/>
  <c r="U21" i="17"/>
  <c r="S21" i="17"/>
  <c r="H3" i="19"/>
  <c r="J8" i="19"/>
  <c r="K8" i="19"/>
  <c r="D52" i="2"/>
  <c r="F52" i="2"/>
  <c r="C23" i="15"/>
  <c r="G23" i="15"/>
  <c r="F51" i="2"/>
  <c r="D44" i="2"/>
  <c r="F44" i="2"/>
  <c r="C17" i="15"/>
  <c r="G17" i="15"/>
  <c r="F43" i="2"/>
  <c r="G28" i="17"/>
  <c r="K28" i="17"/>
  <c r="I28" i="17"/>
  <c r="Q13" i="17"/>
  <c r="J13" i="17"/>
  <c r="F13" i="17"/>
  <c r="L13" i="17"/>
  <c r="H13" i="17"/>
  <c r="D40" i="17"/>
  <c r="D39" i="17"/>
  <c r="F62" i="17"/>
  <c r="Q11" i="17"/>
  <c r="F11" i="17"/>
  <c r="J11" i="17"/>
  <c r="L11" i="17"/>
  <c r="H11" i="17"/>
  <c r="U5" i="17"/>
  <c r="S5" i="17"/>
  <c r="W5" i="17"/>
  <c r="F6" i="15"/>
  <c r="F5" i="15"/>
  <c r="F26" i="15"/>
  <c r="N3" i="15"/>
  <c r="K10" i="19"/>
  <c r="K16" i="19"/>
  <c r="F10" i="19"/>
  <c r="H10" i="19"/>
  <c r="G14" i="15"/>
  <c r="U12" i="17"/>
  <c r="S12" i="17"/>
  <c r="W12" i="17"/>
  <c r="Q7" i="17"/>
  <c r="F7" i="17"/>
  <c r="L7" i="17"/>
  <c r="H7" i="17"/>
  <c r="J7" i="17"/>
  <c r="W11" i="17"/>
  <c r="U11" i="17"/>
  <c r="S11" i="17"/>
  <c r="C39" i="17"/>
  <c r="C40" i="17"/>
  <c r="R11" i="17"/>
  <c r="E8" i="15"/>
  <c r="G8" i="15"/>
  <c r="F28" i="17"/>
  <c r="L28" i="17"/>
  <c r="J28" i="17"/>
  <c r="H28" i="17"/>
  <c r="Q39" i="17"/>
  <c r="S39" i="17"/>
  <c r="F39" i="17"/>
  <c r="L39" i="17"/>
  <c r="N15" i="15"/>
  <c r="R10" i="17"/>
  <c r="E7" i="15"/>
  <c r="G7" i="15"/>
  <c r="Q10" i="17"/>
  <c r="N12" i="15"/>
  <c r="N11" i="15"/>
  <c r="D41" i="17"/>
  <c r="C29" i="17"/>
  <c r="Q29" i="17"/>
  <c r="F29" i="17"/>
  <c r="H29" i="17"/>
  <c r="J29" i="17"/>
  <c r="L29" i="17"/>
  <c r="Q40" i="17"/>
  <c r="S40" i="17"/>
  <c r="L40" i="17"/>
  <c r="F40" i="17"/>
  <c r="H8" i="19"/>
  <c r="R13" i="17"/>
  <c r="E10" i="15"/>
  <c r="G10" i="15"/>
  <c r="N8" i="15"/>
  <c r="Q9" i="17"/>
  <c r="F9" i="17"/>
  <c r="J9" i="17"/>
  <c r="H9" i="17"/>
  <c r="L9" i="17"/>
  <c r="C8" i="17"/>
  <c r="Q8" i="17"/>
  <c r="J8" i="17"/>
  <c r="H8" i="17"/>
  <c r="F8" i="17"/>
  <c r="L8" i="17"/>
  <c r="C28" i="17"/>
  <c r="C34" i="17"/>
  <c r="Q34" i="17"/>
  <c r="W13" i="17"/>
  <c r="S13" i="17"/>
  <c r="U13" i="17"/>
  <c r="E6" i="15"/>
  <c r="G6" i="15"/>
  <c r="R9" i="17"/>
  <c r="E41" i="17"/>
  <c r="E36" i="17"/>
  <c r="E7" i="17"/>
  <c r="H34" i="17"/>
  <c r="F34" i="17"/>
  <c r="L34" i="17"/>
  <c r="J34" i="17"/>
  <c r="R12" i="17"/>
  <c r="E9" i="15"/>
  <c r="G9" i="15"/>
  <c r="N9" i="15"/>
  <c r="D36" i="17"/>
  <c r="C2" i="21"/>
  <c r="K18" i="19"/>
  <c r="C4" i="21"/>
  <c r="C5" i="21"/>
  <c r="N14" i="15"/>
  <c r="W34" i="17"/>
  <c r="S34" i="17"/>
  <c r="U34" i="17"/>
  <c r="Q41" i="17"/>
  <c r="S41" i="17"/>
  <c r="F41" i="17"/>
  <c r="L41" i="17"/>
  <c r="X11" i="17"/>
  <c r="T11" i="17"/>
  <c r="V11" i="17"/>
  <c r="E26" i="15"/>
  <c r="G26" i="15"/>
  <c r="N16" i="15"/>
  <c r="R29" i="17"/>
  <c r="Q36" i="17"/>
  <c r="S36" i="17"/>
  <c r="F36" i="17"/>
  <c r="L36" i="17"/>
  <c r="R7" i="17"/>
  <c r="G7" i="17"/>
  <c r="K7" i="17"/>
  <c r="I7" i="17"/>
  <c r="T9" i="17"/>
  <c r="X9" i="17"/>
  <c r="V9" i="17"/>
  <c r="E25" i="15"/>
  <c r="G25" i="15"/>
  <c r="R28" i="17"/>
  <c r="T13" i="17"/>
  <c r="X13" i="17"/>
  <c r="V13" i="17"/>
  <c r="Q28" i="17"/>
  <c r="R39" i="17"/>
  <c r="T39" i="17"/>
  <c r="E36" i="15"/>
  <c r="G36" i="15"/>
  <c r="N25" i="15"/>
  <c r="W7" i="17"/>
  <c r="S7" i="17"/>
  <c r="U7" i="17"/>
  <c r="W10" i="17"/>
  <c r="S10" i="17"/>
  <c r="U10" i="17"/>
  <c r="U8" i="17"/>
  <c r="S8" i="17"/>
  <c r="W8" i="17"/>
  <c r="R36" i="17"/>
  <c r="T36" i="17"/>
  <c r="G36" i="17"/>
  <c r="W29" i="17"/>
  <c r="S29" i="17"/>
  <c r="U29" i="17"/>
  <c r="X12" i="17"/>
  <c r="V12" i="17"/>
  <c r="T12" i="17"/>
  <c r="R41" i="17"/>
  <c r="T41" i="17"/>
  <c r="G41" i="17"/>
  <c r="E31" i="15"/>
  <c r="G31" i="15"/>
  <c r="R34" i="17"/>
  <c r="W9" i="17"/>
  <c r="S9" i="17"/>
  <c r="U9" i="17"/>
  <c r="N7" i="15"/>
  <c r="R8" i="17"/>
  <c r="E5" i="15"/>
  <c r="G5" i="15"/>
  <c r="V10" i="17"/>
  <c r="X10" i="17"/>
  <c r="T10" i="17"/>
  <c r="E37" i="15"/>
  <c r="G37" i="15"/>
  <c r="N26" i="15"/>
  <c r="R40" i="17"/>
  <c r="T40" i="17"/>
  <c r="N5" i="15"/>
  <c r="G39" i="15"/>
  <c r="U28" i="17"/>
  <c r="S28" i="17"/>
  <c r="W28" i="17"/>
  <c r="V28" i="17"/>
  <c r="X28" i="17"/>
  <c r="T28" i="17"/>
  <c r="X7" i="17"/>
  <c r="V7" i="17"/>
  <c r="T7" i="17"/>
  <c r="T29" i="17"/>
  <c r="X29" i="17"/>
  <c r="V29" i="17"/>
  <c r="X8" i="17"/>
  <c r="V8" i="17"/>
  <c r="T8" i="17"/>
  <c r="X34" i="17"/>
  <c r="T34" i="17"/>
  <c r="V34" i="17"/>
  <c r="N21" i="15"/>
  <c r="G41" i="15"/>
  <c r="B2" i="21"/>
  <c r="N27" i="15"/>
  <c r="E2" i="21"/>
  <c r="E4" i="21"/>
  <c r="E5" i="21"/>
  <c r="B4" i="21"/>
  <c r="B5" i="21"/>
</calcChain>
</file>

<file path=xl/sharedStrings.xml><?xml version="1.0" encoding="utf-8"?>
<sst xmlns="http://schemas.openxmlformats.org/spreadsheetml/2006/main" count="574" uniqueCount="394">
  <si>
    <t>Item</t>
  </si>
  <si>
    <t>cost</t>
  </si>
  <si>
    <t>currency</t>
  </si>
  <si>
    <t>comment</t>
  </si>
  <si>
    <t>US$</t>
  </si>
  <si>
    <t>CHF</t>
  </si>
  <si>
    <t>guess</t>
  </si>
  <si>
    <t>DCS</t>
  </si>
  <si>
    <t>IBM 130 nm wafer</t>
  </si>
  <si>
    <t>IBM 130 nm wafer design mask cost</t>
  </si>
  <si>
    <t>ASICs</t>
  </si>
  <si>
    <t>ABCn per wafer</t>
  </si>
  <si>
    <t>3.5x 2.5 size, past order</t>
  </si>
  <si>
    <t>confidence</t>
  </si>
  <si>
    <t>good</t>
  </si>
  <si>
    <t>past order, same rectiual as HCC</t>
  </si>
  <si>
    <t xml:space="preserve"> </t>
  </si>
  <si>
    <t>Hybrids</t>
  </si>
  <si>
    <t>Sensors</t>
  </si>
  <si>
    <t>HPK cost per mask set, sensor type</t>
  </si>
  <si>
    <t>HPK quote from Nobu</t>
  </si>
  <si>
    <t>HPK cost per sensor, assuming 1 per 6" wafer</t>
  </si>
  <si>
    <t>quotes from Stevenage for large numbers</t>
  </si>
  <si>
    <t>GBP</t>
  </si>
  <si>
    <t>Bare flex hybrids in panel with 3 or 4 layers</t>
  </si>
  <si>
    <t>Flex hybrids SMD in panel</t>
  </si>
  <si>
    <t>quotes from Hawk for large numbers</t>
  </si>
  <si>
    <t>ASIC attachment and wire bonding</t>
  </si>
  <si>
    <t>total guess/placeholder</t>
  </si>
  <si>
    <t>total guess</t>
  </si>
  <si>
    <t>Bus cables</t>
  </si>
  <si>
    <t>Things on Bus cables/Bus cables</t>
  </si>
  <si>
    <t>Things on EOS/EOS</t>
  </si>
  <si>
    <t>prototype costing at Altaflex?? Should go down</t>
  </si>
  <si>
    <t>ok</t>
  </si>
  <si>
    <t>Need to re-cost with new layout</t>
  </si>
  <si>
    <t>PCB for bus termination</t>
  </si>
  <si>
    <t>Guess from PCB manufacters/stuffing at low quanitites</t>
  </si>
  <si>
    <t>EOS board, SMD stuffed (at least 6 layers)</t>
  </si>
  <si>
    <t>Versatile Link</t>
  </si>
  <si>
    <t>GBT</t>
  </si>
  <si>
    <t>GBT SCA</t>
  </si>
  <si>
    <t>HV switches/controller</t>
  </si>
  <si>
    <t>Things in Staves/Petal Cores</t>
  </si>
  <si>
    <t>2 CF Facings- Stave</t>
  </si>
  <si>
    <t>CF Honeycomb-Stave</t>
  </si>
  <si>
    <t>Ti Pipe Assemblies-Stave</t>
  </si>
  <si>
    <t>PocoFoam-Stave</t>
  </si>
  <si>
    <t>Peek and weave costs</t>
  </si>
  <si>
    <t>Bonding Wires (FE and BE)</t>
  </si>
  <si>
    <t>2 CF Facings- Petal</t>
  </si>
  <si>
    <t>CF Honeycomb-Petal</t>
  </si>
  <si>
    <t>Ti Pipe Assemblies-Petal</t>
  </si>
  <si>
    <t>C-chanels and closeouts-Stave</t>
  </si>
  <si>
    <t>C-chanels and closeouts-Petal</t>
  </si>
  <si>
    <t>PocoFoam-Petal</t>
  </si>
  <si>
    <t>Carlos area- .121 m2 with 3 plys</t>
  </si>
  <si>
    <t>Carlos area- .106 m2 with 3 plys</t>
  </si>
  <si>
    <t>Carlos size .01 x .006 x 1.5 m3</t>
  </si>
  <si>
    <t>Exchange Rates</t>
  </si>
  <si>
    <t>EURO</t>
  </si>
  <si>
    <t>from Paulo</t>
  </si>
  <si>
    <t>Placeholder, told would be small relative to everything else by David Lynn</t>
  </si>
  <si>
    <t>Euro</t>
  </si>
  <si>
    <t>LV supply per EOS card, 20 V, 10 A</t>
  </si>
  <si>
    <t>HV supply 4 sensors, no multiplexing, 500 V, 10 mA, crate costs included</t>
  </si>
  <si>
    <t>HV supply 12 sensor , with multplexing, 500 V, 40 mA, crate costs included</t>
  </si>
  <si>
    <t>ABCn costs</t>
  </si>
  <si>
    <t xml:space="preserve">basis </t>
  </si>
  <si>
    <t>wafer half HCC/half SPP</t>
  </si>
  <si>
    <t>Chip Yields</t>
  </si>
  <si>
    <t>Probing</t>
  </si>
  <si>
    <t>Dicing/Handling</t>
  </si>
  <si>
    <t>Made-to-Good ABCN</t>
  </si>
  <si>
    <t>Hybrid Yields</t>
  </si>
  <si>
    <t>Inspection</t>
  </si>
  <si>
    <t>Discrete loading</t>
  </si>
  <si>
    <t>ASIC gluing</t>
  </si>
  <si>
    <t>ASIC bonding</t>
  </si>
  <si>
    <t>Testing</t>
  </si>
  <si>
    <t>Made-to-good Hybrid (circuits)</t>
  </si>
  <si>
    <t>Made-to-good Hybrid (ASICs)</t>
  </si>
  <si>
    <t>Module Yields</t>
  </si>
  <si>
    <t>Handling</t>
  </si>
  <si>
    <t>Made-to-good Modules (3 hybrids)</t>
  </si>
  <si>
    <t>Made-to-good Modules (2 hybrids)</t>
  </si>
  <si>
    <t>Made-to-good Modules (1 hybrids)</t>
  </si>
  <si>
    <t>Gluing per hybrid</t>
  </si>
  <si>
    <t>Bonding per hybrid</t>
  </si>
  <si>
    <t xml:space="preserve">Testing </t>
  </si>
  <si>
    <t>Stave Core Yields</t>
  </si>
  <si>
    <t>Co-cure with inspection</t>
  </si>
  <si>
    <t>Rest of Assembly</t>
  </si>
  <si>
    <t>Final Inspection</t>
  </si>
  <si>
    <t>Made-to-good Cables and Facings</t>
  </si>
  <si>
    <t>Made-to-good Everything Else</t>
  </si>
  <si>
    <t>EOS stave components</t>
  </si>
  <si>
    <t>No idea</t>
  </si>
  <si>
    <t>Made-to-good EOS</t>
  </si>
  <si>
    <t>Stave/Petal Yields</t>
  </si>
  <si>
    <t>Assembly/testing from good components</t>
  </si>
  <si>
    <t>Made-to-good stave/petal</t>
  </si>
  <si>
    <t>Number of ASIC per good chip in workin stave/petal (1 hybrid per sensor)</t>
  </si>
  <si>
    <t>Number of ASIC per good chip in working stave/petal (2 hybrid per sensor)</t>
  </si>
  <si>
    <t>Number of Hybrids per good hybrid in working stave/petal (1 hybrid per sensor)</t>
  </si>
  <si>
    <t>Number of Hybrids per good hybrid in working stave/petal (2 hybrid per sensor)</t>
  </si>
  <si>
    <t>Number of Sensors per good in working stave/petal (1 hybrid per sensor)</t>
  </si>
  <si>
    <t>Number of Sensors per good in working stave/petal (2 hybrid per sensor)</t>
  </si>
  <si>
    <t>Number of cables/facing per good in working stave/petal</t>
  </si>
  <si>
    <t>Number of other core material in working stave/petal</t>
  </si>
  <si>
    <t>Number of EOS components per good in working stave/petal</t>
  </si>
  <si>
    <t>Need to confirm</t>
  </si>
  <si>
    <t>per hybrid (ASIC and sensor bonding)</t>
  </si>
  <si>
    <t>DAQ</t>
  </si>
  <si>
    <t>Stave Core Total</t>
  </si>
  <si>
    <t>Petal Core Total</t>
  </si>
  <si>
    <t>Could be 400-800 CHF per GBT</t>
  </si>
  <si>
    <t>In final detectors</t>
  </si>
  <si>
    <t>Staves</t>
  </si>
  <si>
    <t>Stave Cables/Facings</t>
  </si>
  <si>
    <t>Stave Cores Other Material</t>
  </si>
  <si>
    <t>Ready for Integration onto global support</t>
  </si>
  <si>
    <t>Ready for Loading Into Stave/Petal</t>
  </si>
  <si>
    <t>EOS materials</t>
  </si>
  <si>
    <t>Hybrids Ready for Modules</t>
  </si>
  <si>
    <t>Chips Ready for Hybrids</t>
  </si>
  <si>
    <t xml:space="preserve">Component </t>
  </si>
  <si>
    <t>Component cost (CHF)</t>
  </si>
  <si>
    <t>HCC cost</t>
  </si>
  <si>
    <t>Total</t>
  </si>
  <si>
    <t>Total Componet Cost (including yield) in kCHF</t>
  </si>
  <si>
    <t>Stave Core Assembly in Industry</t>
  </si>
  <si>
    <t>TJ- (hours per item estimates, roughly equal cost as parts)</t>
  </si>
  <si>
    <t>TJ- (hours per item estimates, roughly equal cost as parts for staves)</t>
  </si>
  <si>
    <t>Petal Core Assembly in Industry</t>
  </si>
  <si>
    <t>2014 Dec</t>
  </si>
  <si>
    <t>2014 quote Stevenage</t>
  </si>
  <si>
    <t>2014 quote Hawk</t>
  </si>
  <si>
    <r>
      <t xml:space="preserve">G&amp;A quotes 90 </t>
    </r>
    <r>
      <rPr>
        <sz val="10"/>
        <rFont val="Calibri"/>
        <family val="2"/>
      </rPr>
      <t>€</t>
    </r>
    <r>
      <rPr>
        <sz val="10"/>
        <rFont val="Arial"/>
        <family val="2"/>
      </rPr>
      <t xml:space="preserve"> per man hour.   New hybrid est is 40 min</t>
    </r>
  </si>
  <si>
    <t>Power board stuffed</t>
  </si>
  <si>
    <t>Best guess is kapton cost dominate</t>
  </si>
  <si>
    <t>HCC per wafer</t>
  </si>
  <si>
    <t>WBS</t>
  </si>
  <si>
    <t>2.2.1</t>
  </si>
  <si>
    <t>2.2.2</t>
  </si>
  <si>
    <t>2.3.1</t>
  </si>
  <si>
    <t>Bare Flex with passives</t>
  </si>
  <si>
    <t>2.3.2</t>
  </si>
  <si>
    <t>Bond Wire</t>
  </si>
  <si>
    <t>2.3.3</t>
  </si>
  <si>
    <t>ASIC Mounting</t>
  </si>
  <si>
    <t>2.4.1</t>
  </si>
  <si>
    <t>2.4.2</t>
  </si>
  <si>
    <t>2.4.3</t>
  </si>
  <si>
    <t>2.4.4</t>
  </si>
  <si>
    <t>2.4.5</t>
  </si>
  <si>
    <t>2.4.6</t>
  </si>
  <si>
    <t>2.5.1</t>
  </si>
  <si>
    <t>2.5.2</t>
  </si>
  <si>
    <t>2.5.3</t>
  </si>
  <si>
    <t>2.5.4</t>
  </si>
  <si>
    <t>2.5.5</t>
  </si>
  <si>
    <t>2.5.6</t>
  </si>
  <si>
    <t>HV Supply</t>
  </si>
  <si>
    <t>LV Supply</t>
  </si>
  <si>
    <t>Power Board</t>
  </si>
  <si>
    <t>EOS Board</t>
  </si>
  <si>
    <t>Cooling Pipes</t>
  </si>
  <si>
    <t>CFRP</t>
  </si>
  <si>
    <t>Carbon Foam</t>
  </si>
  <si>
    <t>CF Honeycomb</t>
  </si>
  <si>
    <t>Core Assembly</t>
  </si>
  <si>
    <t>TOTAL</t>
  </si>
  <si>
    <t>Sensor Masks</t>
  </si>
  <si>
    <t>ASIC Masks</t>
  </si>
  <si>
    <t>2.1.2</t>
  </si>
  <si>
    <t>2.1.1</t>
  </si>
  <si>
    <t>Bus Tapes</t>
  </si>
  <si>
    <t>Module+Support Jigs</t>
  </si>
  <si>
    <t>Short Strip</t>
  </si>
  <si>
    <t>Long Strip</t>
  </si>
  <si>
    <t>Services</t>
  </si>
  <si>
    <t>Global Strucutures</t>
  </si>
  <si>
    <t>New guess from Marcel Stanski (13/02/15)</t>
  </si>
  <si>
    <t>Midpoint guess based on CMS estimates</t>
  </si>
  <si>
    <t>DCS System</t>
  </si>
  <si>
    <t>Updated cost per link (up or down) (24/02/15)  Petals and LS staves have 2 (1 up,1down) SS stave have 3 (1 up, 2 down) per side</t>
  </si>
  <si>
    <t>Kostas K (25/02/15)</t>
  </si>
  <si>
    <t>Kostas K (25/02/15)+600 dicing, handling…</t>
  </si>
  <si>
    <t>2.2.1.1</t>
  </si>
  <si>
    <t>2.2.1.2</t>
  </si>
  <si>
    <t>2.2.2.1</t>
  </si>
  <si>
    <t>2.2.2.2</t>
  </si>
  <si>
    <t>2.2.2.3</t>
  </si>
  <si>
    <t>2.2.3.1</t>
  </si>
  <si>
    <t>2.2.3.2</t>
  </si>
  <si>
    <t>2.2.3.3</t>
  </si>
  <si>
    <t>2.2.3.4</t>
  </si>
  <si>
    <t>2.2.4.1</t>
  </si>
  <si>
    <t>2.2.3.5</t>
  </si>
  <si>
    <t>2.2.3.6</t>
  </si>
  <si>
    <t>2.2.3.7</t>
  </si>
  <si>
    <t>2.2.3.8</t>
  </si>
  <si>
    <t>2.2.4.2</t>
  </si>
  <si>
    <t>2.2.4.3</t>
  </si>
  <si>
    <t>2.2.4.4</t>
  </si>
  <si>
    <t>2.2.4.5</t>
  </si>
  <si>
    <t>2.2.5.1</t>
  </si>
  <si>
    <t>2.2.5.2</t>
  </si>
  <si>
    <t>2.2.5.3</t>
  </si>
  <si>
    <t>2.2.5.4</t>
  </si>
  <si>
    <t>2.2.5.5</t>
  </si>
  <si>
    <t>2.2.5.6</t>
  </si>
  <si>
    <t>2.2.5.7</t>
  </si>
  <si>
    <t>2.2.5.8</t>
  </si>
  <si>
    <t>2.2.5.9</t>
  </si>
  <si>
    <t>2.2.5.10</t>
  </si>
  <si>
    <t>2.2.5.11</t>
  </si>
  <si>
    <t>2.2.5.12</t>
  </si>
  <si>
    <t>2.2.10.1</t>
  </si>
  <si>
    <t>2.2.10.2</t>
  </si>
  <si>
    <t>2.2.10.3</t>
  </si>
  <si>
    <t>2.2.10.4</t>
  </si>
  <si>
    <t>Preproduction Size (multiple components)</t>
  </si>
  <si>
    <t>Preproduction Size (masks)</t>
  </si>
  <si>
    <t>Preproduction is currently assumes 5% of components which NONE as assumed to be installed</t>
  </si>
  <si>
    <t>Preproduction for masks assumes ALL will have to be replaced, i.e. that 2 mask sets are needed for a final production sensors or ASIC</t>
  </si>
  <si>
    <t>Inflation</t>
  </si>
  <si>
    <t>For all parts with quotes that haven't been updated since 2012</t>
  </si>
  <si>
    <t>Final Cost (CHF)</t>
  </si>
  <si>
    <t xml:space="preserve">Things on Module </t>
  </si>
  <si>
    <t>Yield + Preproduction  Factor</t>
  </si>
  <si>
    <t>Power Chip per wafer</t>
  </si>
  <si>
    <t xml:space="preserve">Power Chip cost </t>
  </si>
  <si>
    <t>Off-detector  and lump costs</t>
  </si>
  <si>
    <t>Global supports per sensor area (m2)</t>
  </si>
  <si>
    <t>Based on number from Eric Anderson</t>
  </si>
  <si>
    <t>Based on number from LOI costing</t>
  </si>
  <si>
    <t>Services per sensor area (m2)</t>
  </si>
  <si>
    <t>Based on guess, consistent with CMS</t>
  </si>
  <si>
    <t>Power Chip</t>
  </si>
  <si>
    <t>Number Installed In Detector</t>
  </si>
  <si>
    <t>Cost Book Number</t>
  </si>
  <si>
    <t>Total Core Cost (MCHF)</t>
  </si>
  <si>
    <t>Item Type</t>
  </si>
  <si>
    <t>In production assume two wafers, 1 with ABCn, 1 with HCC+power chip</t>
  </si>
  <si>
    <t>Core Jigging (Modules, local supports, global supports)</t>
  </si>
  <si>
    <t>In Detector</t>
  </si>
  <si>
    <t>Short Strip Staves</t>
  </si>
  <si>
    <t>Long Strip Staves</t>
  </si>
  <si>
    <t>Petals</t>
  </si>
  <si>
    <t>Number</t>
  </si>
  <si>
    <t>Hybrids Per</t>
  </si>
  <si>
    <t>ABC130 Per</t>
  </si>
  <si>
    <t>HCC Per</t>
  </si>
  <si>
    <t>Modules/Sensors Per</t>
  </si>
  <si>
    <t>ABC130</t>
  </si>
  <si>
    <t>HCC</t>
  </si>
  <si>
    <t>Power Boards Per</t>
  </si>
  <si>
    <t>Power Boards</t>
  </si>
  <si>
    <t>Barrel</t>
  </si>
  <si>
    <t>End Cap</t>
  </si>
  <si>
    <t>Area (m2)</t>
  </si>
  <si>
    <t>Full Detector</t>
  </si>
  <si>
    <t>Versatile Links Per</t>
  </si>
  <si>
    <t>Versatile Links</t>
  </si>
  <si>
    <t>Endcaps</t>
  </si>
  <si>
    <t>N Units</t>
  </si>
  <si>
    <t>All Stuff on X Staves</t>
  </si>
  <si>
    <t>All Stuff on X Petals</t>
  </si>
  <si>
    <t>X average barrel modules</t>
  </si>
  <si>
    <t>X average EC modules</t>
  </si>
  <si>
    <t>Fraction of total</t>
  </si>
  <si>
    <t>Examples</t>
  </si>
  <si>
    <t>1/2 Barrel</t>
  </si>
  <si>
    <t>1 Disk with services, etc.</t>
  </si>
  <si>
    <t>50 Stave with all components</t>
  </si>
  <si>
    <t>750 EC Modules</t>
  </si>
  <si>
    <t>TJ- 6612/m2. 1.3x.1 with 10% wastage</t>
  </si>
  <si>
    <t>Allcomp order 2450 USD for 0.3x0.3x0.025 m3 plate, 100% wastage (March 2015)</t>
  </si>
  <si>
    <t>TJ- 500 $/m2-3 plys, 1.3x.15 with 20% wastage (11/2/15)</t>
  </si>
  <si>
    <t>RF order, £8000 for 170 m, 3.05 m per pipe, 60 GBP test fitting, 150 GBP insulating for two</t>
  </si>
  <si>
    <t>Carlos 1.5 m per pipe, 60 GBP test fittings, 150 GBP Insulating breaks for two</t>
  </si>
  <si>
    <t>Full barrel (kCHF)</t>
    <phoneticPr fontId="5"/>
  </si>
  <si>
    <t>Full endcap (kCHF)</t>
    <phoneticPr fontId="5"/>
  </si>
  <si>
    <t>Full fraction of Barrel</t>
  </si>
  <si>
    <t>Full fraction of End Cap</t>
  </si>
  <si>
    <t>Tracker Total (kCHF)</t>
  </si>
  <si>
    <t>Fraction covered (%)</t>
  </si>
  <si>
    <t>Total cost (kCHF)</t>
  </si>
  <si>
    <t xml:space="preserve"> Your contribution (kCHF)</t>
  </si>
  <si>
    <t>Comments</t>
  </si>
  <si>
    <t>Full</t>
  </si>
  <si>
    <t>Layer 1-2</t>
  </si>
  <si>
    <t>Layer 3-4-5</t>
  </si>
  <si>
    <t>FE chip</t>
  </si>
  <si>
    <t>2.1.3.3</t>
  </si>
  <si>
    <t>Bump-Bonding</t>
  </si>
  <si>
    <t>2.1.3.(1,2,4)</t>
  </si>
  <si>
    <t>Module flex</t>
  </si>
  <si>
    <t>2.1.3.5</t>
  </si>
  <si>
    <t>Module assembly &amp; test</t>
  </si>
  <si>
    <t>2.1.4.(1-6,10-13)</t>
  </si>
  <si>
    <t>PP1, PP2, Cables</t>
  </si>
  <si>
    <t>2.1.4.(7-9)</t>
  </si>
  <si>
    <t>Optical data transmission</t>
  </si>
  <si>
    <t>2.1.5.(1,2,4,6)</t>
  </si>
  <si>
    <t>Local supports</t>
  </si>
  <si>
    <t>2.1.5.(3,5)</t>
  </si>
  <si>
    <t>Stave/ring cables + electronics + PP0</t>
  </si>
  <si>
    <t>2.1.5.(7-8)</t>
  </si>
  <si>
    <t>Local supports loading &amp; test</t>
  </si>
  <si>
    <t>2.1.7</t>
  </si>
  <si>
    <t>Integration and system test</t>
  </si>
  <si>
    <t>2.1.8</t>
  </si>
  <si>
    <t>HV+LV+DCS</t>
  </si>
  <si>
    <t>2.3</t>
  </si>
  <si>
    <t>ITk Common Mechanics</t>
  </si>
  <si>
    <t>ITk surface commissioning</t>
  </si>
  <si>
    <t>ITk integration and insertion</t>
  </si>
  <si>
    <t>2.3.6</t>
  </si>
  <si>
    <t>Dry inert gas delivery</t>
  </si>
  <si>
    <t>2.3.7</t>
  </si>
  <si>
    <t>Beam pipe interfaces</t>
  </si>
  <si>
    <t>2.3.8</t>
  </si>
  <si>
    <t xml:space="preserve">Type III/IV services </t>
  </si>
  <si>
    <t>2.3.9</t>
  </si>
  <si>
    <t>CO2 cooling plant</t>
  </si>
  <si>
    <t>2.3.10</t>
  </si>
  <si>
    <t>Cable cooling plant</t>
  </si>
  <si>
    <t>2.3.11</t>
  </si>
  <si>
    <t>Alignment system</t>
  </si>
  <si>
    <t>ITk Common Electronics</t>
  </si>
  <si>
    <t>Environmental Monitoring</t>
  </si>
  <si>
    <t>2.4.1.1</t>
  </si>
  <si>
    <t>NMR monitors</t>
  </si>
  <si>
    <t>2.4.1.2</t>
  </si>
  <si>
    <t>Thermal and Humidity Monitoring</t>
  </si>
  <si>
    <t>2.4.1.3</t>
  </si>
  <si>
    <t>Pressure system and sensors</t>
  </si>
  <si>
    <t>2.4.1.4</t>
  </si>
  <si>
    <t>Radiation monitors</t>
  </si>
  <si>
    <t>2.4.1.5</t>
  </si>
  <si>
    <t>Vibration monitoring</t>
  </si>
  <si>
    <t>2.4.1.6</t>
  </si>
  <si>
    <t>Readout Electronics</t>
  </si>
  <si>
    <t>2.4.1.7</t>
  </si>
  <si>
    <t>Interface to DCS</t>
  </si>
  <si>
    <t>Safety Interlock System</t>
  </si>
  <si>
    <t>READOUT</t>
  </si>
  <si>
    <t>Grounding &amp; Shielding</t>
  </si>
  <si>
    <t>Electronics Specs &amp; Documentation</t>
  </si>
  <si>
    <t>Estimate</t>
  </si>
  <si>
    <t>TC Infrastructure (tooling below ground)</t>
  </si>
  <si>
    <r>
      <t xml:space="preserve">Common structures </t>
    </r>
    <r>
      <rPr>
        <b/>
        <sz val="11"/>
        <color theme="6" tint="-0.249977111117893"/>
        <rFont val="Arial"/>
        <family val="2"/>
      </rPr>
      <t>(including PST)</t>
    </r>
  </si>
  <si>
    <t>Strips</t>
  </si>
  <si>
    <t>Pixels</t>
  </si>
  <si>
    <t>Common</t>
  </si>
  <si>
    <t>Committed Core (kCHF)</t>
  </si>
  <si>
    <t xml:space="preserve">Uncommitted Core (kCHF) </t>
  </si>
  <si>
    <t>Total Core Aspiration (kCHF)</t>
  </si>
  <si>
    <t>Strip Committed Core (kCHF)</t>
  </si>
  <si>
    <t>Strip Uncommitted Core (KCHF)</t>
  </si>
  <si>
    <t>Total Strip Core (kCHF)</t>
  </si>
  <si>
    <t>Fraction Covered</t>
  </si>
  <si>
    <t>FA Contribution (kCHF)</t>
  </si>
  <si>
    <t>Pixel Committed Core (kCHF)</t>
  </si>
  <si>
    <t>Pixel Uncommitted Core (kCHF)</t>
  </si>
  <si>
    <t>Common Committed Core (kCHF)</t>
  </si>
  <si>
    <t>Common Uncommitted Core (KCHF)</t>
  </si>
  <si>
    <t>Total Common Core (kCHF)</t>
  </si>
  <si>
    <t>FA Aspiration Core Fraction</t>
  </si>
  <si>
    <t>%</t>
  </si>
  <si>
    <t>Layer 1</t>
  </si>
  <si>
    <t>16 staves - 960 modues (2x1)</t>
  </si>
  <si>
    <t>Layer 2</t>
  </si>
  <si>
    <t>16 staves - 960 modues (2x2)</t>
  </si>
  <si>
    <t>Layer 3</t>
  </si>
  <si>
    <t>32 staves - 1120 modues (2x2)</t>
  </si>
  <si>
    <t>Layer 4</t>
  </si>
  <si>
    <t>40 staves - 1400 modues (2x2)</t>
  </si>
  <si>
    <t>Layer 5</t>
  </si>
  <si>
    <t>60 staves - 2100 modues (2x2)</t>
  </si>
  <si>
    <t>Ring 1</t>
  </si>
  <si>
    <t>18 rings - 648 modules (2x2)</t>
  </si>
  <si>
    <t>Ring 2</t>
  </si>
  <si>
    <t>24 rings - 1152 modules (2x2)</t>
  </si>
  <si>
    <t>Ring 3</t>
  </si>
  <si>
    <t>24 rings - 1440 modules (2x2)</t>
  </si>
  <si>
    <r>
      <rPr>
        <b/>
        <sz val="12"/>
        <rFont val="Arial"/>
        <family val="2"/>
      </rPr>
      <t>Notes:</t>
    </r>
    <r>
      <rPr>
        <sz val="12"/>
        <rFont val="Arial"/>
        <family val="2"/>
      </rPr>
      <t xml:space="preserve">
The cost corresponds to the last 5 layers / eta 4 presented after the 6th costing meeting on June 2015. The final layout may have different number of modules. Moreover, modules in different positions may have different costs, what is reported is just the average. So, the core contribution automatically computed is purely indicative. 
The first 5 items approximately scale with the number of modules, the others with the number of staves/rings. Fractions of each item corresponding to each layer are indicated in the table. </t>
    </r>
  </si>
  <si>
    <t>Rings</t>
  </si>
  <si>
    <t>Our interest in layers 1 and 2, particularly in using 3D sensors, more expensive than planar</t>
  </si>
  <si>
    <t>Accounts for high risks related to bump bonding</t>
  </si>
  <si>
    <t>Fraction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</si>
</sst>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6" x14ac:knownFonts="1">
    <font>
      <sz val="10"/>
      <name val="Arial"/>
      <family val="2"/>
    </font>
    <font>
      <sz val="11"/>
      <color theme="1"/>
      <name val="Calibri"/>
      <family val="2"/>
      <scheme val="minor"/>
    </font>
    <font>
      <sz val="10"/>
      <name val="Calibri"/>
      <family val="2"/>
    </font>
    <font>
      <sz val="10"/>
      <color rgb="FFFF0000"/>
      <name val="Arial"/>
      <family val="2"/>
    </font>
    <font>
      <sz val="10"/>
      <color theme="1"/>
      <name val="Arial"/>
      <family val="2"/>
    </font>
    <font>
      <sz val="6"/>
      <name val="Arial"/>
      <family val="2"/>
    </font>
    <font>
      <u/>
      <sz val="10"/>
      <color theme="10"/>
      <name val="Arial"/>
      <family val="2"/>
    </font>
    <font>
      <u/>
      <sz val="10"/>
      <color theme="11"/>
      <name val="Arial"/>
      <family val="2"/>
    </font>
    <font>
      <sz val="11"/>
      <color rgb="FF006100"/>
      <name val="Calibri"/>
      <family val="2"/>
      <scheme val="minor"/>
    </font>
    <font>
      <b/>
      <sz val="11"/>
      <color theme="0"/>
      <name val="Calibri"/>
      <family val="2"/>
      <scheme val="minor"/>
    </font>
    <font>
      <sz val="11"/>
      <color theme="0"/>
      <name val="Calibri"/>
      <family val="2"/>
      <scheme val="minor"/>
    </font>
    <font>
      <sz val="11"/>
      <color theme="4" tint="-0.499984740745262"/>
      <name val="Calibri"/>
      <family val="2"/>
      <scheme val="minor"/>
    </font>
    <font>
      <b/>
      <sz val="11"/>
      <color theme="4" tint="-0.499984740745262"/>
      <name val="Calibri"/>
      <family val="2"/>
      <scheme val="minor"/>
    </font>
    <font>
      <sz val="11"/>
      <name val="Calibri"/>
      <family val="2"/>
      <scheme val="minor"/>
    </font>
    <font>
      <sz val="14"/>
      <color theme="0"/>
      <name val="Calibri"/>
      <family val="2"/>
      <scheme val="minor"/>
    </font>
    <font>
      <sz val="11"/>
      <name val="Arial"/>
      <family val="2"/>
    </font>
    <font>
      <b/>
      <sz val="11"/>
      <name val="Arial"/>
      <family val="2"/>
    </font>
    <font>
      <b/>
      <sz val="14"/>
      <color theme="5"/>
      <name val="Arial"/>
      <family val="2"/>
    </font>
    <font>
      <b/>
      <sz val="11"/>
      <color theme="6" tint="-0.249977111117893"/>
      <name val="Arial"/>
      <family val="2"/>
    </font>
    <font>
      <sz val="10"/>
      <color rgb="FF92D050"/>
      <name val="Arial"/>
      <family val="2"/>
    </font>
    <font>
      <b/>
      <sz val="14"/>
      <color rgb="FF92D050"/>
      <name val="Arial"/>
      <family val="2"/>
    </font>
    <font>
      <sz val="12"/>
      <color theme="1"/>
      <name val="Calibri"/>
      <family val="2"/>
      <scheme val="minor"/>
    </font>
    <font>
      <b/>
      <sz val="11"/>
      <color theme="1"/>
      <name val="Calibri"/>
      <family val="2"/>
      <scheme val="minor"/>
    </font>
    <font>
      <b/>
      <sz val="12"/>
      <color theme="1"/>
      <name val="Calibri"/>
      <family val="2"/>
      <scheme val="minor"/>
    </font>
    <font>
      <b/>
      <sz val="12"/>
      <name val="Arial"/>
      <family val="2"/>
    </font>
    <font>
      <sz val="12"/>
      <name val="Arial"/>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6EFCE"/>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style="thick">
        <color auto="1"/>
      </right>
      <top style="thick">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thick">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ck">
        <color auto="1"/>
      </left>
      <right style="thin">
        <color auto="1"/>
      </right>
      <top style="double">
        <color auto="1"/>
      </top>
      <bottom style="thick">
        <color auto="1"/>
      </bottom>
      <diagonal/>
    </border>
    <border>
      <left style="thin">
        <color auto="1"/>
      </left>
      <right style="double">
        <color auto="1"/>
      </right>
      <top style="double">
        <color auto="1"/>
      </top>
      <bottom style="thick">
        <color auto="1"/>
      </bottom>
      <diagonal/>
    </border>
    <border>
      <left style="double">
        <color auto="1"/>
      </left>
      <right style="thick">
        <color auto="1"/>
      </right>
      <top style="thin">
        <color auto="1"/>
      </top>
      <bottom style="double">
        <color auto="1"/>
      </bottom>
      <diagonal/>
    </border>
    <border>
      <left/>
      <right style="thick">
        <color auto="1"/>
      </right>
      <top/>
      <bottom style="thick">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ck">
        <color auto="1"/>
      </top>
      <bottom/>
      <diagonal/>
    </border>
  </borders>
  <cellStyleXfs count="3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10"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0" borderId="0"/>
    <xf numFmtId="0" fontId="14" fillId="8" borderId="0" applyNumberFormat="0" applyBorder="0" applyAlignment="0" applyProtection="0"/>
    <xf numFmtId="0" fontId="14" fillId="8"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30">
    <xf numFmtId="0" fontId="0" fillId="0" borderId="0" xfId="0"/>
    <xf numFmtId="0" fontId="0" fillId="0" borderId="0" xfId="0" applyAlignment="1">
      <alignment horizontal="center"/>
    </xf>
    <xf numFmtId="3" fontId="0" fillId="0" borderId="0" xfId="0" applyNumberFormat="1"/>
    <xf numFmtId="0" fontId="0" fillId="0" borderId="0" xfId="0" applyFont="1" applyAlignment="1">
      <alignment wrapText="1"/>
    </xf>
    <xf numFmtId="9" fontId="0" fillId="0" borderId="0" xfId="0" applyNumberFormat="1"/>
    <xf numFmtId="0" fontId="3" fillId="0" borderId="0" xfId="0" applyFont="1"/>
    <xf numFmtId="0" fontId="0" fillId="0" borderId="0" xfId="0" applyAlignment="1">
      <alignment wrapText="1"/>
    </xf>
    <xf numFmtId="0" fontId="3" fillId="0" borderId="0" xfId="0" applyFont="1" applyAlignment="1">
      <alignment wrapText="1"/>
    </xf>
    <xf numFmtId="2" fontId="0" fillId="0" borderId="0" xfId="0" applyNumberFormat="1"/>
    <xf numFmtId="1" fontId="0" fillId="0" borderId="0" xfId="0" applyNumberFormat="1"/>
    <xf numFmtId="0" fontId="0" fillId="2" borderId="0" xfId="0" applyFill="1"/>
    <xf numFmtId="165" fontId="0" fillId="0" borderId="0" xfId="0" applyNumberFormat="1"/>
    <xf numFmtId="0" fontId="0" fillId="3" borderId="0" xfId="0" applyFill="1"/>
    <xf numFmtId="164" fontId="0" fillId="0" borderId="0" xfId="0" applyNumberFormat="1"/>
    <xf numFmtId="0" fontId="0" fillId="0" borderId="0" xfId="0" applyAlignment="1">
      <alignment horizontal="right"/>
    </xf>
    <xf numFmtId="0" fontId="0" fillId="0" borderId="0" xfId="0" applyFill="1"/>
    <xf numFmtId="0" fontId="0" fillId="0" borderId="0" xfId="0" applyFill="1" applyAlignment="1">
      <alignment horizontal="center"/>
    </xf>
    <xf numFmtId="2" fontId="0" fillId="0" borderId="0" xfId="0" applyNumberFormat="1" applyFill="1"/>
    <xf numFmtId="0" fontId="0" fillId="0" borderId="0" xfId="0" applyFill="1" applyAlignment="1">
      <alignment wrapText="1"/>
    </xf>
    <xf numFmtId="3" fontId="0" fillId="0" borderId="0" xfId="0" applyNumberFormat="1" applyFill="1"/>
    <xf numFmtId="0" fontId="0" fillId="0" borderId="0" xfId="0" applyFont="1" applyFill="1"/>
    <xf numFmtId="1" fontId="0" fillId="0" borderId="0" xfId="0" applyNumberFormat="1" applyFill="1"/>
    <xf numFmtId="0" fontId="0" fillId="0" borderId="0" xfId="0" applyFill="1" applyAlignment="1">
      <alignment horizontal="right"/>
    </xf>
    <xf numFmtId="0" fontId="0" fillId="0" borderId="0" xfId="0" applyFont="1" applyAlignment="1">
      <alignment horizontal="right"/>
    </xf>
    <xf numFmtId="0" fontId="0" fillId="0" borderId="0" xfId="0" applyAlignment="1">
      <alignment horizontal="center"/>
    </xf>
    <xf numFmtId="0" fontId="0" fillId="0" borderId="0" xfId="0" applyAlignment="1">
      <alignment horizontal="center" wrapText="1"/>
    </xf>
    <xf numFmtId="0" fontId="3" fillId="0" borderId="0" xfId="0" applyFont="1" applyFill="1" applyAlignment="1">
      <alignment wrapText="1"/>
    </xf>
    <xf numFmtId="0" fontId="3" fillId="0" borderId="0" xfId="0" applyFont="1" applyFill="1"/>
    <xf numFmtId="0" fontId="4" fillId="0" borderId="0" xfId="0" applyFont="1" applyFill="1"/>
    <xf numFmtId="0" fontId="4" fillId="0" borderId="0" xfId="0" applyFont="1" applyFill="1" applyAlignment="1">
      <alignment horizontal="center"/>
    </xf>
    <xf numFmtId="1" fontId="0" fillId="0" borderId="0" xfId="0" applyNumberFormat="1" applyFill="1" applyAlignment="1">
      <alignment wrapText="1"/>
    </xf>
    <xf numFmtId="1" fontId="0" fillId="0" borderId="0" xfId="0" applyNumberFormat="1" applyAlignment="1">
      <alignment wrapText="1"/>
    </xf>
    <xf numFmtId="165" fontId="0" fillId="0" borderId="0" xfId="0" applyNumberFormat="1" applyFont="1" applyAlignment="1">
      <alignment horizontal="center"/>
    </xf>
    <xf numFmtId="165" fontId="0" fillId="0" borderId="0" xfId="0" applyNumberFormat="1" applyAlignment="1">
      <alignment horizontal="center"/>
    </xf>
    <xf numFmtId="165" fontId="0" fillId="0" borderId="0" xfId="0" applyNumberFormat="1" applyFill="1" applyAlignment="1">
      <alignment horizontal="center"/>
    </xf>
    <xf numFmtId="3" fontId="4" fillId="0" borderId="0" xfId="0" applyNumberFormat="1" applyFont="1" applyFill="1"/>
    <xf numFmtId="4" fontId="4" fillId="0" borderId="0" xfId="0" applyNumberFormat="1" applyFont="1" applyFill="1"/>
    <xf numFmtId="3" fontId="4" fillId="0" borderId="0" xfId="0" applyNumberFormat="1" applyFont="1"/>
    <xf numFmtId="164" fontId="0" fillId="0" borderId="0" xfId="0" applyNumberFormat="1" applyFill="1"/>
    <xf numFmtId="0" fontId="0" fillId="0" borderId="0" xfId="0" applyAlignment="1">
      <alignment horizontal="right" wrapText="1"/>
    </xf>
    <xf numFmtId="0" fontId="0" fillId="0" borderId="0" xfId="0" applyFont="1" applyFill="1" applyAlignment="1">
      <alignment horizontal="right"/>
    </xf>
    <xf numFmtId="165" fontId="0" fillId="0" borderId="0" xfId="0" applyNumberFormat="1" applyFont="1" applyFill="1" applyAlignment="1">
      <alignment horizontal="center"/>
    </xf>
    <xf numFmtId="0" fontId="1" fillId="0" borderId="0" xfId="31"/>
    <xf numFmtId="0" fontId="11" fillId="6" borderId="1" xfId="29" applyFont="1" applyBorder="1"/>
    <xf numFmtId="0" fontId="9" fillId="5" borderId="0" xfId="28" applyFont="1"/>
    <xf numFmtId="0" fontId="1" fillId="6" borderId="1" xfId="29" applyBorder="1"/>
    <xf numFmtId="0" fontId="10" fillId="5" borderId="0" xfId="28" applyBorder="1" applyAlignment="1">
      <alignment horizontal="center"/>
    </xf>
    <xf numFmtId="49" fontId="16" fillId="9" borderId="0" xfId="0" applyNumberFormat="1" applyFont="1" applyFill="1" applyBorder="1" applyAlignment="1">
      <alignment horizontal="left"/>
    </xf>
    <xf numFmtId="0" fontId="0" fillId="9" borderId="0" xfId="0" applyFont="1" applyFill="1"/>
    <xf numFmtId="0" fontId="15" fillId="9" borderId="0" xfId="0" applyFont="1" applyFill="1" applyBorder="1"/>
    <xf numFmtId="0" fontId="15" fillId="9" borderId="0" xfId="0" applyFont="1" applyFill="1" applyBorder="1" applyAlignment="1">
      <alignment vertical="center" wrapText="1"/>
    </xf>
    <xf numFmtId="0" fontId="16" fillId="9" borderId="0" xfId="0" quotePrefix="1" applyFont="1" applyFill="1" applyAlignment="1">
      <alignment horizontal="left"/>
    </xf>
    <xf numFmtId="0" fontId="0" fillId="9" borderId="0" xfId="0" quotePrefix="1" applyFont="1" applyFill="1" applyAlignment="1">
      <alignment horizontal="left"/>
    </xf>
    <xf numFmtId="0" fontId="0" fillId="9" borderId="0" xfId="0" applyFont="1" applyFill="1" applyBorder="1" applyAlignment="1">
      <alignment vertical="center" wrapText="1"/>
    </xf>
    <xf numFmtId="0" fontId="15" fillId="9" borderId="0" xfId="0" applyFont="1" applyFill="1"/>
    <xf numFmtId="0" fontId="17" fillId="9" borderId="0" xfId="0" quotePrefix="1" applyFont="1" applyFill="1" applyAlignment="1">
      <alignment horizontal="left"/>
    </xf>
    <xf numFmtId="0" fontId="17" fillId="9" borderId="0" xfId="0" applyFont="1" applyFill="1"/>
    <xf numFmtId="49" fontId="17" fillId="9" borderId="0" xfId="0" applyNumberFormat="1" applyFont="1" applyFill="1" applyBorder="1" applyAlignment="1">
      <alignment horizontal="left"/>
    </xf>
    <xf numFmtId="0" fontId="17" fillId="9" borderId="0" xfId="0" applyFont="1" applyFill="1" applyBorder="1"/>
    <xf numFmtId="0" fontId="0" fillId="9" borderId="5" xfId="0" applyFont="1" applyFill="1" applyBorder="1"/>
    <xf numFmtId="2" fontId="0" fillId="3" borderId="0" xfId="0" applyNumberFormat="1" applyFill="1"/>
    <xf numFmtId="1" fontId="0" fillId="3" borderId="0" xfId="0" applyNumberFormat="1" applyFill="1"/>
    <xf numFmtId="164" fontId="0" fillId="3" borderId="0" xfId="0" applyNumberFormat="1" applyFill="1"/>
    <xf numFmtId="0" fontId="0" fillId="3" borderId="0" xfId="0" applyFill="1" applyAlignment="1">
      <alignment horizontal="center" wrapText="1"/>
    </xf>
    <xf numFmtId="0" fontId="0" fillId="3" borderId="0" xfId="0" applyFont="1" applyFill="1" applyAlignment="1">
      <alignment horizontal="center" wrapText="1"/>
    </xf>
    <xf numFmtId="0" fontId="0" fillId="3" borderId="0" xfId="0" applyFont="1" applyFill="1"/>
    <xf numFmtId="0" fontId="0" fillId="2" borderId="0" xfId="0" applyFill="1" applyAlignment="1">
      <alignment horizontal="center" wrapText="1"/>
    </xf>
    <xf numFmtId="165" fontId="0" fillId="2" borderId="0" xfId="0" applyNumberFormat="1" applyFill="1"/>
    <xf numFmtId="2" fontId="0" fillId="0" borderId="0" xfId="0" applyNumberFormat="1" applyAlignment="1">
      <alignment horizontal="right"/>
    </xf>
    <xf numFmtId="164" fontId="0" fillId="2" borderId="0" xfId="0" applyNumberFormat="1" applyFill="1"/>
    <xf numFmtId="165" fontId="13" fillId="2" borderId="3" xfId="27" applyNumberFormat="1" applyFont="1" applyFill="1" applyBorder="1"/>
    <xf numFmtId="165" fontId="0" fillId="2" borderId="5" xfId="0" applyNumberFormat="1" applyFont="1" applyFill="1" applyBorder="1"/>
    <xf numFmtId="165" fontId="0" fillId="9" borderId="0" xfId="0" applyNumberFormat="1" applyFont="1" applyFill="1"/>
    <xf numFmtId="165" fontId="17" fillId="9" borderId="0" xfId="0" applyNumberFormat="1" applyFont="1" applyFill="1"/>
    <xf numFmtId="164" fontId="0" fillId="3" borderId="5" xfId="0" applyNumberFormat="1" applyFont="1" applyFill="1" applyBorder="1"/>
    <xf numFmtId="164" fontId="19" fillId="9" borderId="0" xfId="0" applyNumberFormat="1" applyFont="1" applyFill="1"/>
    <xf numFmtId="164" fontId="20" fillId="9" borderId="0" xfId="0" applyNumberFormat="1" applyFont="1" applyFill="1"/>
    <xf numFmtId="164" fontId="0" fillId="2" borderId="5" xfId="0" applyNumberFormat="1" applyFont="1" applyFill="1" applyBorder="1"/>
    <xf numFmtId="0" fontId="9" fillId="5" borderId="0" xfId="28" applyFont="1" applyBorder="1" applyAlignment="1">
      <alignment horizontal="center" vertical="center" wrapText="1"/>
    </xf>
    <xf numFmtId="0" fontId="9" fillId="5" borderId="4" xfId="28" applyFont="1" applyBorder="1" applyAlignment="1">
      <alignment horizontal="center" vertical="center" wrapText="1"/>
    </xf>
    <xf numFmtId="0" fontId="9" fillId="5" borderId="0" xfId="28" applyFont="1" applyAlignment="1">
      <alignment horizontal="center"/>
    </xf>
    <xf numFmtId="0" fontId="0" fillId="9" borderId="1" xfId="0" applyFill="1" applyBorder="1"/>
    <xf numFmtId="0" fontId="11" fillId="9" borderId="1" xfId="0" applyFont="1" applyFill="1" applyBorder="1"/>
    <xf numFmtId="0" fontId="0" fillId="7" borderId="1" xfId="30" applyFont="1" applyBorder="1"/>
    <xf numFmtId="0" fontId="0" fillId="0" borderId="1" xfId="0" applyBorder="1"/>
    <xf numFmtId="0" fontId="12" fillId="9" borderId="1"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0" fillId="0" borderId="2" xfId="0" applyBorder="1"/>
    <xf numFmtId="0" fontId="0" fillId="9" borderId="26" xfId="0" applyFill="1" applyBorder="1" applyAlignment="1">
      <alignment wrapText="1"/>
    </xf>
    <xf numFmtId="2" fontId="21" fillId="3" borderId="0" xfId="33" applyNumberFormat="1" applyFont="1" applyFill="1" applyBorder="1"/>
    <xf numFmtId="2" fontId="22" fillId="3" borderId="0" xfId="28" applyNumberFormat="1" applyFont="1" applyFill="1"/>
    <xf numFmtId="2" fontId="23" fillId="3" borderId="0" xfId="28" applyNumberFormat="1" applyFont="1" applyFill="1"/>
    <xf numFmtId="0" fontId="24" fillId="2" borderId="0" xfId="0" applyFont="1" applyFill="1"/>
    <xf numFmtId="2" fontId="24" fillId="3" borderId="0" xfId="0" applyNumberFormat="1" applyFont="1" applyFill="1"/>
    <xf numFmtId="0" fontId="25" fillId="0" borderId="1" xfId="0" applyFont="1" applyBorder="1"/>
    <xf numFmtId="0" fontId="25" fillId="0" borderId="0" xfId="0" applyFont="1" applyAlignment="1">
      <alignment horizontal="right"/>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25" fillId="0" borderId="9" xfId="0" applyFont="1" applyBorder="1" applyAlignment="1">
      <alignment horizontal="center"/>
    </xf>
    <xf numFmtId="0" fontId="25" fillId="0" borderId="22" xfId="0" applyFont="1" applyFill="1" applyBorder="1" applyAlignment="1">
      <alignment horizontal="center"/>
    </xf>
    <xf numFmtId="164" fontId="25" fillId="3" borderId="13" xfId="0" applyNumberFormat="1" applyFont="1" applyFill="1" applyBorder="1" applyAlignment="1">
      <alignment horizontal="center"/>
    </xf>
    <xf numFmtId="164" fontId="25" fillId="3" borderId="14" xfId="0" applyNumberFormat="1" applyFont="1" applyFill="1" applyBorder="1" applyAlignment="1">
      <alignment horizontal="center"/>
    </xf>
    <xf numFmtId="164" fontId="25" fillId="3" borderId="6" xfId="0" applyNumberFormat="1" applyFont="1" applyFill="1" applyBorder="1" applyAlignment="1">
      <alignment horizontal="center"/>
    </xf>
    <xf numFmtId="164" fontId="25" fillId="3" borderId="15" xfId="0" applyNumberFormat="1" applyFont="1" applyFill="1" applyBorder="1" applyAlignment="1">
      <alignment horizontal="center"/>
    </xf>
    <xf numFmtId="164" fontId="25" fillId="3" borderId="16" xfId="0" applyNumberFormat="1" applyFont="1" applyFill="1" applyBorder="1" applyAlignment="1">
      <alignment horizontal="center"/>
    </xf>
    <xf numFmtId="164" fontId="25" fillId="3" borderId="17" xfId="0" applyNumberFormat="1" applyFont="1" applyFill="1" applyBorder="1" applyAlignment="1">
      <alignment horizontal="center"/>
    </xf>
    <xf numFmtId="164" fontId="25" fillId="3" borderId="20" xfId="0" applyNumberFormat="1" applyFont="1" applyFill="1" applyBorder="1" applyAlignment="1">
      <alignment horizontal="center"/>
    </xf>
    <xf numFmtId="164" fontId="25" fillId="3" borderId="18" xfId="0" applyNumberFormat="1" applyFont="1" applyFill="1" applyBorder="1" applyAlignment="1">
      <alignment horizontal="center"/>
    </xf>
    <xf numFmtId="164" fontId="25" fillId="3" borderId="19" xfId="0" applyNumberFormat="1" applyFont="1" applyFill="1" applyBorder="1" applyAlignment="1">
      <alignment horizontal="center"/>
    </xf>
    <xf numFmtId="164" fontId="25" fillId="3" borderId="21" xfId="0" applyNumberFormat="1" applyFont="1" applyFill="1" applyBorder="1" applyAlignment="1">
      <alignment horizontal="center"/>
    </xf>
    <xf numFmtId="0" fontId="25" fillId="3" borderId="23" xfId="0" applyFont="1" applyFill="1" applyBorder="1"/>
    <xf numFmtId="0" fontId="25" fillId="3" borderId="24" xfId="0" applyFont="1" applyFill="1" applyBorder="1"/>
    <xf numFmtId="164" fontId="25" fillId="3" borderId="3" xfId="0" applyNumberFormat="1" applyFont="1" applyFill="1" applyBorder="1" applyAlignment="1">
      <alignment horizontal="center"/>
    </xf>
    <xf numFmtId="164" fontId="25" fillId="3" borderId="27" xfId="0" applyNumberFormat="1" applyFont="1" applyFill="1" applyBorder="1" applyAlignment="1">
      <alignment horizontal="center"/>
    </xf>
    <xf numFmtId="165" fontId="0" fillId="3" borderId="0" xfId="0" applyNumberFormat="1" applyFill="1"/>
    <xf numFmtId="1" fontId="0" fillId="3" borderId="0" xfId="0" applyNumberFormat="1" applyFont="1" applyFill="1"/>
    <xf numFmtId="164" fontId="0" fillId="3" borderId="0" xfId="0" applyNumberFormat="1" applyFont="1" applyFill="1"/>
    <xf numFmtId="2" fontId="0" fillId="3" borderId="0" xfId="0" applyNumberFormat="1" applyFont="1" applyFill="1"/>
    <xf numFmtId="0" fontId="0" fillId="0" borderId="1" xfId="0" applyFill="1" applyBorder="1"/>
    <xf numFmtId="2" fontId="1" fillId="0" borderId="0" xfId="31" applyNumberFormat="1"/>
    <xf numFmtId="0" fontId="25" fillId="0" borderId="1" xfId="0" applyFont="1" applyBorder="1" applyAlignment="1">
      <alignment horizontal="left"/>
    </xf>
    <xf numFmtId="0" fontId="9" fillId="5" borderId="0" xfId="28" applyFont="1" applyAlignment="1">
      <alignment horizontal="center"/>
    </xf>
    <xf numFmtId="0" fontId="25" fillId="0" borderId="25" xfId="0" applyFont="1" applyBorder="1" applyAlignment="1">
      <alignment horizontal="left"/>
    </xf>
    <xf numFmtId="0" fontId="25" fillId="0" borderId="26" xfId="0" applyFont="1" applyBorder="1" applyAlignment="1">
      <alignment horizontal="left"/>
    </xf>
    <xf numFmtId="0" fontId="25" fillId="0" borderId="1" xfId="0" applyFont="1" applyBorder="1" applyAlignment="1">
      <alignment horizontal="left" vertical="top" wrapText="1"/>
    </xf>
    <xf numFmtId="0" fontId="0" fillId="0" borderId="1" xfId="0" applyBorder="1" applyAlignment="1">
      <alignment horizontal="left" vertical="top" wrapText="1"/>
    </xf>
    <xf numFmtId="0" fontId="25" fillId="0" borderId="2" xfId="0" applyFont="1" applyBorder="1" applyAlignment="1">
      <alignment horizontal="left"/>
    </xf>
  </cellXfs>
  <cellStyles count="36">
    <cellStyle name="20% - Colore 1" xfId="29" builtinId="30"/>
    <cellStyle name="40% - Colore 1" xfId="30" builtinId="31"/>
    <cellStyle name="60% - Accent1 2" xfId="32"/>
    <cellStyle name="60% - Colore 1" xfId="33" builtinId="32"/>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34"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35" builtinId="9" hidden="1"/>
    <cellStyle name="Colore 1" xfId="28" builtinId="29"/>
    <cellStyle name="Normal 2" xfId="31"/>
    <cellStyle name="Normale" xfId="0" builtinId="0"/>
    <cellStyle name="Valore valido" xfId="27" builtinId="2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O64"/>
  <sheetViews>
    <sheetView topLeftCell="A30" workbookViewId="0">
      <selection activeCell="A28" sqref="A28"/>
    </sheetView>
  </sheetViews>
  <sheetFormatPr defaultColWidth="11.44140625" defaultRowHeight="13.2" x14ac:dyDescent="0.25"/>
  <cols>
    <col min="1" max="1" width="70.77734375" customWidth="1"/>
    <col min="3" max="4" width="9" style="1" customWidth="1"/>
    <col min="5" max="5" width="13.109375" style="24" customWidth="1"/>
    <col min="6" max="6" width="15" style="24" bestFit="1" customWidth="1"/>
    <col min="7" max="7" width="62.33203125" customWidth="1"/>
    <col min="8" max="8" width="13.44140625" customWidth="1"/>
    <col min="9" max="9" width="58.33203125" customWidth="1"/>
    <col min="12" max="12" width="14.77734375" bestFit="1" customWidth="1"/>
  </cols>
  <sheetData>
    <row r="1" spans="1:15" x14ac:dyDescent="0.25">
      <c r="A1" t="s">
        <v>0</v>
      </c>
      <c r="B1" t="s">
        <v>1</v>
      </c>
      <c r="C1" s="1" t="s">
        <v>2</v>
      </c>
      <c r="D1" s="1" t="s">
        <v>5</v>
      </c>
      <c r="E1" s="24" t="s">
        <v>227</v>
      </c>
      <c r="F1" s="24" t="s">
        <v>229</v>
      </c>
      <c r="G1" t="s">
        <v>68</v>
      </c>
      <c r="H1" t="s">
        <v>13</v>
      </c>
      <c r="I1" t="s">
        <v>3</v>
      </c>
      <c r="L1" t="s">
        <v>59</v>
      </c>
      <c r="M1" t="s">
        <v>135</v>
      </c>
      <c r="N1">
        <v>2012</v>
      </c>
      <c r="O1">
        <v>2009</v>
      </c>
    </row>
    <row r="2" spans="1:15" ht="66" x14ac:dyDescent="0.25">
      <c r="A2" s="5"/>
      <c r="E2" s="25" t="s">
        <v>228</v>
      </c>
      <c r="L2" t="s">
        <v>5</v>
      </c>
      <c r="M2">
        <v>1</v>
      </c>
      <c r="N2">
        <v>1</v>
      </c>
      <c r="O2">
        <v>1</v>
      </c>
    </row>
    <row r="3" spans="1:15" s="15" customFormat="1" x14ac:dyDescent="0.25">
      <c r="A3" s="5" t="s">
        <v>10</v>
      </c>
      <c r="B3"/>
      <c r="C3" s="24"/>
      <c r="D3" s="24"/>
      <c r="E3" s="25"/>
      <c r="F3" s="24"/>
      <c r="G3"/>
      <c r="H3"/>
      <c r="I3"/>
      <c r="J3"/>
      <c r="L3" s="15" t="s">
        <v>60</v>
      </c>
      <c r="M3" s="17">
        <v>1.21</v>
      </c>
      <c r="N3" s="17">
        <f>1/0.82</f>
        <v>1.22</v>
      </c>
      <c r="O3" s="17">
        <v>1.6</v>
      </c>
    </row>
    <row r="4" spans="1:15" s="15" customFormat="1" x14ac:dyDescent="0.25">
      <c r="A4" s="15" t="s">
        <v>8</v>
      </c>
      <c r="B4" s="35">
        <v>2841</v>
      </c>
      <c r="C4" s="16" t="s">
        <v>4</v>
      </c>
      <c r="D4" s="16">
        <f>LOOKUP(C4,$L$2:$M$5)*B4</f>
        <v>2613.7199999999998</v>
      </c>
      <c r="E4" s="16">
        <v>1</v>
      </c>
      <c r="F4" s="16">
        <f>D4*E4</f>
        <v>2613.7199999999998</v>
      </c>
      <c r="G4" s="15" t="s">
        <v>188</v>
      </c>
      <c r="H4" s="15" t="s">
        <v>14</v>
      </c>
      <c r="I4" s="15" t="s">
        <v>245</v>
      </c>
      <c r="L4" s="15" t="s">
        <v>23</v>
      </c>
      <c r="M4" s="17">
        <v>1.51</v>
      </c>
      <c r="N4" s="17">
        <f>1/0.68</f>
        <v>1.47</v>
      </c>
      <c r="O4" s="17">
        <v>1.67</v>
      </c>
    </row>
    <row r="5" spans="1:15" s="15" customFormat="1" x14ac:dyDescent="0.25">
      <c r="A5" s="15" t="s">
        <v>9</v>
      </c>
      <c r="B5" s="35">
        <v>325280</v>
      </c>
      <c r="C5" s="16" t="s">
        <v>4</v>
      </c>
      <c r="D5" s="16">
        <f>LOOKUP(C5,$L$2:$M$5)*B5</f>
        <v>299257.59999999998</v>
      </c>
      <c r="E5" s="16">
        <v>1</v>
      </c>
      <c r="F5" s="16">
        <f t="shared" ref="F5:F58" si="0">D5*E5</f>
        <v>299257.59999999998</v>
      </c>
      <c r="G5" s="15" t="s">
        <v>187</v>
      </c>
      <c r="H5" s="15" t="s">
        <v>14</v>
      </c>
      <c r="L5" s="15" t="s">
        <v>4</v>
      </c>
      <c r="M5" s="17">
        <v>0.92</v>
      </c>
      <c r="N5" s="17">
        <f>1/1.097</f>
        <v>0.91</v>
      </c>
      <c r="O5" s="17">
        <v>1.1499999999999999</v>
      </c>
    </row>
    <row r="6" spans="1:15" s="15" customFormat="1" x14ac:dyDescent="0.25">
      <c r="A6" s="15" t="s">
        <v>11</v>
      </c>
      <c r="B6" s="35">
        <v>470</v>
      </c>
      <c r="C6" s="16"/>
      <c r="D6" s="16" t="s">
        <v>16</v>
      </c>
      <c r="E6" s="16"/>
      <c r="F6" s="16"/>
      <c r="G6" s="15" t="s">
        <v>187</v>
      </c>
      <c r="H6" s="15" t="s">
        <v>14</v>
      </c>
    </row>
    <row r="7" spans="1:15" s="15" customFormat="1" ht="13.5" customHeight="1" x14ac:dyDescent="0.25">
      <c r="A7" s="15" t="s">
        <v>67</v>
      </c>
      <c r="B7" s="36">
        <f>B4/B6</f>
        <v>6.04</v>
      </c>
      <c r="C7" s="16" t="s">
        <v>4</v>
      </c>
      <c r="D7" s="16">
        <f>LOOKUP(C7,$L$2:$M$5)*B7</f>
        <v>5.5568</v>
      </c>
      <c r="E7" s="16">
        <v>1</v>
      </c>
      <c r="F7" s="16">
        <f t="shared" si="0"/>
        <v>5.5568</v>
      </c>
      <c r="H7" s="15" t="s">
        <v>14</v>
      </c>
    </row>
    <row r="8" spans="1:15" s="15" customFormat="1" ht="13.5" customHeight="1" x14ac:dyDescent="0.25">
      <c r="A8" s="15" t="s">
        <v>232</v>
      </c>
      <c r="B8" s="35">
        <v>2000</v>
      </c>
      <c r="C8" s="16"/>
      <c r="D8" s="16" t="s">
        <v>16</v>
      </c>
      <c r="E8" s="16"/>
      <c r="F8" s="16"/>
      <c r="G8" s="15" t="s">
        <v>15</v>
      </c>
      <c r="I8" s="15" t="s">
        <v>16</v>
      </c>
    </row>
    <row r="9" spans="1:15" s="15" customFormat="1" x14ac:dyDescent="0.25">
      <c r="A9" s="15" t="s">
        <v>233</v>
      </c>
      <c r="B9" s="36">
        <f>B4/B8*2</f>
        <v>2.84</v>
      </c>
      <c r="C9" s="16" t="s">
        <v>4</v>
      </c>
      <c r="D9" s="16">
        <f>LOOKUP(C9,$L$2:$M$5)*B9</f>
        <v>2.6128</v>
      </c>
      <c r="E9" s="16">
        <v>1</v>
      </c>
      <c r="F9" s="16">
        <f t="shared" si="0"/>
        <v>2.6128</v>
      </c>
      <c r="G9" s="15" t="s">
        <v>69</v>
      </c>
      <c r="H9" s="15" t="s">
        <v>14</v>
      </c>
    </row>
    <row r="10" spans="1:15" s="15" customFormat="1" x14ac:dyDescent="0.25">
      <c r="A10" s="15" t="s">
        <v>141</v>
      </c>
      <c r="B10" s="35">
        <v>2000</v>
      </c>
      <c r="C10" s="16"/>
      <c r="D10" s="16" t="s">
        <v>16</v>
      </c>
      <c r="E10" s="16"/>
      <c r="F10" s="16"/>
      <c r="G10" s="15" t="s">
        <v>12</v>
      </c>
    </row>
    <row r="11" spans="1:15" x14ac:dyDescent="0.25">
      <c r="A11" s="15" t="s">
        <v>128</v>
      </c>
      <c r="B11" s="36">
        <f>B4/B10*2</f>
        <v>2.84</v>
      </c>
      <c r="C11" s="16" t="s">
        <v>4</v>
      </c>
      <c r="D11" s="16">
        <f>LOOKUP(C11,$L$2:$M$5)*B11</f>
        <v>2.6128</v>
      </c>
      <c r="E11" s="16">
        <v>1</v>
      </c>
      <c r="F11" s="16">
        <f t="shared" si="0"/>
        <v>2.6128</v>
      </c>
      <c r="G11" s="15" t="s">
        <v>69</v>
      </c>
      <c r="H11" s="15" t="s">
        <v>14</v>
      </c>
      <c r="I11" s="15"/>
      <c r="J11" s="15"/>
      <c r="L11" s="8"/>
    </row>
    <row r="12" spans="1:15" x14ac:dyDescent="0.25">
      <c r="B12" s="37"/>
      <c r="D12" s="1" t="s">
        <v>16</v>
      </c>
      <c r="F12" s="16"/>
      <c r="L12" s="8"/>
    </row>
    <row r="13" spans="1:15" s="15" customFormat="1" ht="14.7" customHeight="1" x14ac:dyDescent="0.25">
      <c r="A13" s="5" t="s">
        <v>18</v>
      </c>
      <c r="B13" s="2"/>
      <c r="C13" s="1"/>
      <c r="D13" s="1" t="s">
        <v>16</v>
      </c>
      <c r="E13" s="24"/>
      <c r="F13" s="16"/>
      <c r="G13"/>
      <c r="H13"/>
      <c r="I13"/>
      <c r="J13"/>
      <c r="L13" s="17"/>
    </row>
    <row r="14" spans="1:15" s="15" customFormat="1" ht="14.7" customHeight="1" x14ac:dyDescent="0.25">
      <c r="A14" s="18" t="s">
        <v>19</v>
      </c>
      <c r="B14" s="19">
        <v>70000</v>
      </c>
      <c r="C14" s="16" t="s">
        <v>5</v>
      </c>
      <c r="D14" s="16">
        <f>LOOKUP(C14,$L$2:$M$5)*B14</f>
        <v>70000</v>
      </c>
      <c r="E14" s="16">
        <v>1</v>
      </c>
      <c r="F14" s="16">
        <f t="shared" si="0"/>
        <v>70000</v>
      </c>
      <c r="G14" s="15" t="s">
        <v>20</v>
      </c>
      <c r="H14" s="15" t="s">
        <v>14</v>
      </c>
      <c r="I14" s="18" t="s">
        <v>16</v>
      </c>
    </row>
    <row r="15" spans="1:15" ht="14.7" customHeight="1" x14ac:dyDescent="0.25">
      <c r="A15" s="18" t="s">
        <v>21</v>
      </c>
      <c r="B15" s="35">
        <v>1100</v>
      </c>
      <c r="C15" s="16" t="s">
        <v>5</v>
      </c>
      <c r="D15" s="16">
        <f>LOOKUP(C15,$L$2:$M$5)*B15</f>
        <v>1100</v>
      </c>
      <c r="E15" s="16">
        <v>1</v>
      </c>
      <c r="F15" s="16">
        <f t="shared" si="0"/>
        <v>1100</v>
      </c>
      <c r="G15" s="15" t="s">
        <v>20</v>
      </c>
      <c r="H15" s="15" t="s">
        <v>14</v>
      </c>
      <c r="I15" s="15"/>
      <c r="J15" s="15"/>
    </row>
    <row r="16" spans="1:15" ht="14.7" customHeight="1" x14ac:dyDescent="0.25">
      <c r="A16" s="6"/>
      <c r="B16" s="35"/>
      <c r="D16" s="1" t="s">
        <v>16</v>
      </c>
      <c r="F16" s="16"/>
    </row>
    <row r="17" spans="1:10" s="15" customFormat="1" x14ac:dyDescent="0.25">
      <c r="A17" s="7" t="s">
        <v>17</v>
      </c>
      <c r="B17" s="35"/>
      <c r="C17" s="1"/>
      <c r="D17" s="1" t="s">
        <v>16</v>
      </c>
      <c r="E17" s="24"/>
      <c r="F17" s="16"/>
      <c r="G17"/>
      <c r="H17"/>
      <c r="I17"/>
      <c r="J17"/>
    </row>
    <row r="18" spans="1:10" s="15" customFormat="1" x14ac:dyDescent="0.25">
      <c r="A18" s="15" t="s">
        <v>24</v>
      </c>
      <c r="B18" s="35">
        <v>90</v>
      </c>
      <c r="C18" s="16" t="s">
        <v>23</v>
      </c>
      <c r="D18" s="16">
        <f>LOOKUP(C18,$L$2:$M$5)*B18</f>
        <v>135.9</v>
      </c>
      <c r="E18" s="16">
        <v>1</v>
      </c>
      <c r="F18" s="16">
        <f t="shared" si="0"/>
        <v>135.9</v>
      </c>
      <c r="G18" s="15" t="s">
        <v>22</v>
      </c>
      <c r="H18" s="15" t="s">
        <v>14</v>
      </c>
      <c r="I18" s="15" t="s">
        <v>136</v>
      </c>
    </row>
    <row r="19" spans="1:10" s="15" customFormat="1" x14ac:dyDescent="0.25">
      <c r="A19" s="18" t="s">
        <v>25</v>
      </c>
      <c r="B19" s="35">
        <v>20</v>
      </c>
      <c r="C19" s="16" t="s">
        <v>23</v>
      </c>
      <c r="D19" s="16">
        <f>LOOKUP(C19,$L$2:$M$5)*B19</f>
        <v>30.2</v>
      </c>
      <c r="E19" s="16">
        <v>1</v>
      </c>
      <c r="F19" s="16">
        <f t="shared" si="0"/>
        <v>30.2</v>
      </c>
      <c r="G19" s="15" t="s">
        <v>26</v>
      </c>
      <c r="H19" s="15" t="s">
        <v>14</v>
      </c>
      <c r="I19" s="15" t="s">
        <v>137</v>
      </c>
    </row>
    <row r="20" spans="1:10" s="15" customFormat="1" ht="13.8" x14ac:dyDescent="0.3">
      <c r="A20" s="18" t="s">
        <v>27</v>
      </c>
      <c r="B20" s="35">
        <f>90*0.66</f>
        <v>59</v>
      </c>
      <c r="C20" s="16" t="s">
        <v>60</v>
      </c>
      <c r="D20" s="16">
        <f>LOOKUP(C20,$L$2:$M$5)*B20</f>
        <v>71.39</v>
      </c>
      <c r="E20" s="16">
        <v>1.1000000000000001</v>
      </c>
      <c r="F20" s="16">
        <f t="shared" si="0"/>
        <v>78.528999999999996</v>
      </c>
      <c r="G20" s="15" t="s">
        <v>28</v>
      </c>
      <c r="H20" s="15" t="s">
        <v>29</v>
      </c>
      <c r="I20" s="15" t="s">
        <v>138</v>
      </c>
    </row>
    <row r="21" spans="1:10" x14ac:dyDescent="0.25">
      <c r="A21" s="18" t="s">
        <v>49</v>
      </c>
      <c r="B21" s="35">
        <v>10</v>
      </c>
      <c r="C21" s="16" t="s">
        <v>23</v>
      </c>
      <c r="D21" s="16">
        <f>LOOKUP(C21,$L$2:$M$5)*B21</f>
        <v>15.1</v>
      </c>
      <c r="E21" s="16">
        <v>1.1000000000000001</v>
      </c>
      <c r="F21" s="16">
        <f t="shared" si="0"/>
        <v>16.61</v>
      </c>
      <c r="G21" s="15" t="s">
        <v>112</v>
      </c>
      <c r="H21" s="15" t="s">
        <v>6</v>
      </c>
      <c r="I21" s="15" t="s">
        <v>111</v>
      </c>
      <c r="J21" s="15"/>
    </row>
    <row r="22" spans="1:10" x14ac:dyDescent="0.25">
      <c r="A22" s="6"/>
      <c r="B22" s="35" t="s">
        <v>16</v>
      </c>
      <c r="C22" s="1" t="s">
        <v>16</v>
      </c>
      <c r="F22" s="16"/>
    </row>
    <row r="23" spans="1:10" x14ac:dyDescent="0.25">
      <c r="A23" s="7" t="s">
        <v>31</v>
      </c>
      <c r="B23" s="35"/>
      <c r="D23" s="1" t="s">
        <v>16</v>
      </c>
      <c r="F23" s="16"/>
    </row>
    <row r="24" spans="1:10" x14ac:dyDescent="0.25">
      <c r="A24" s="3" t="s">
        <v>30</v>
      </c>
      <c r="B24" s="35">
        <v>500</v>
      </c>
      <c r="C24" s="1" t="s">
        <v>4</v>
      </c>
      <c r="D24" s="16">
        <f>LOOKUP(C24,$L$2:$M$5)*B24</f>
        <v>460</v>
      </c>
      <c r="E24" s="16">
        <v>1.1000000000000001</v>
      </c>
      <c r="F24" s="16">
        <f t="shared" si="0"/>
        <v>506</v>
      </c>
      <c r="G24" t="s">
        <v>33</v>
      </c>
      <c r="H24" t="s">
        <v>34</v>
      </c>
      <c r="I24" t="s">
        <v>35</v>
      </c>
    </row>
    <row r="25" spans="1:10" s="15" customFormat="1" x14ac:dyDescent="0.25">
      <c r="A25" s="6" t="s">
        <v>36</v>
      </c>
      <c r="B25" s="35">
        <v>10</v>
      </c>
      <c r="C25" s="1" t="s">
        <v>23</v>
      </c>
      <c r="D25" s="16">
        <f>LOOKUP(C25,$L$2:$M$5)*B25</f>
        <v>15.1</v>
      </c>
      <c r="E25" s="16">
        <v>1.1000000000000001</v>
      </c>
      <c r="F25" s="16">
        <f t="shared" si="0"/>
        <v>16.61</v>
      </c>
      <c r="G25" t="s">
        <v>37</v>
      </c>
      <c r="H25" t="s">
        <v>6</v>
      </c>
      <c r="I25"/>
      <c r="J25"/>
    </row>
    <row r="26" spans="1:10" x14ac:dyDescent="0.25">
      <c r="A26" s="18"/>
      <c r="B26" s="35"/>
      <c r="C26" s="16"/>
      <c r="D26" s="16"/>
      <c r="E26" s="16"/>
      <c r="F26" s="16"/>
      <c r="G26" s="15"/>
      <c r="H26" s="15"/>
      <c r="I26" s="15"/>
      <c r="J26" s="15"/>
    </row>
    <row r="27" spans="1:10" x14ac:dyDescent="0.25">
      <c r="A27" s="26" t="s">
        <v>230</v>
      </c>
      <c r="B27" s="35"/>
      <c r="D27" s="1" t="s">
        <v>16</v>
      </c>
      <c r="F27" s="16"/>
    </row>
    <row r="28" spans="1:10" s="15" customFormat="1" x14ac:dyDescent="0.25">
      <c r="A28" s="18" t="s">
        <v>42</v>
      </c>
      <c r="B28" s="35">
        <v>5</v>
      </c>
      <c r="C28" s="16" t="s">
        <v>5</v>
      </c>
      <c r="D28" s="16">
        <f>LOOKUP(C28,$L$2:$M$5)*B28</f>
        <v>5</v>
      </c>
      <c r="E28" s="16">
        <v>1</v>
      </c>
      <c r="F28" s="16">
        <f>D28*E28</f>
        <v>5</v>
      </c>
      <c r="G28" s="15" t="s">
        <v>62</v>
      </c>
      <c r="H28" s="15" t="s">
        <v>6</v>
      </c>
    </row>
    <row r="29" spans="1:10" s="15" customFormat="1" x14ac:dyDescent="0.25">
      <c r="A29" s="18" t="s">
        <v>139</v>
      </c>
      <c r="B29" s="35">
        <v>50</v>
      </c>
      <c r="C29" s="16" t="s">
        <v>4</v>
      </c>
      <c r="D29" s="16">
        <f>LOOKUP(C29,$L$2:$M$5)*B29</f>
        <v>46</v>
      </c>
      <c r="E29" s="16">
        <v>1</v>
      </c>
      <c r="F29" s="16">
        <f>D29*E29</f>
        <v>46</v>
      </c>
      <c r="G29" s="15" t="s">
        <v>140</v>
      </c>
      <c r="H29" s="15" t="s">
        <v>6</v>
      </c>
    </row>
    <row r="30" spans="1:10" s="15" customFormat="1" x14ac:dyDescent="0.25">
      <c r="A30" s="18"/>
      <c r="B30" s="35"/>
      <c r="C30" s="16"/>
      <c r="D30" s="16"/>
      <c r="E30" s="16"/>
      <c r="F30" s="16"/>
    </row>
    <row r="31" spans="1:10" s="20" customFormat="1" x14ac:dyDescent="0.25">
      <c r="A31" s="26" t="s">
        <v>32</v>
      </c>
      <c r="B31" s="35"/>
      <c r="C31" s="16"/>
      <c r="D31" s="16" t="s">
        <v>16</v>
      </c>
      <c r="E31" s="16"/>
      <c r="F31" s="16"/>
      <c r="G31" s="15"/>
      <c r="H31" s="15"/>
      <c r="I31" s="15"/>
      <c r="J31" s="15"/>
    </row>
    <row r="32" spans="1:10" s="15" customFormat="1" x14ac:dyDescent="0.25">
      <c r="A32" s="18" t="s">
        <v>38</v>
      </c>
      <c r="B32" s="35">
        <v>600</v>
      </c>
      <c r="C32" s="16" t="s">
        <v>60</v>
      </c>
      <c r="D32" s="16">
        <f>LOOKUP(C32,$L$2:$M$5)*B32</f>
        <v>726</v>
      </c>
      <c r="E32" s="16">
        <v>1</v>
      </c>
      <c r="F32" s="16">
        <f t="shared" si="0"/>
        <v>726</v>
      </c>
      <c r="G32" s="15" t="s">
        <v>183</v>
      </c>
      <c r="H32" s="20"/>
      <c r="I32" s="20"/>
      <c r="J32" s="20"/>
    </row>
    <row r="33" spans="1:8" s="15" customFormat="1" x14ac:dyDescent="0.25">
      <c r="A33" s="18" t="s">
        <v>39</v>
      </c>
      <c r="B33" s="35">
        <v>200</v>
      </c>
      <c r="C33" s="16" t="s">
        <v>5</v>
      </c>
      <c r="D33" s="16">
        <f>LOOKUP(C33,$L$2:$M$5)*B33</f>
        <v>200</v>
      </c>
      <c r="E33" s="16">
        <v>1</v>
      </c>
      <c r="F33" s="16">
        <f t="shared" si="0"/>
        <v>200</v>
      </c>
      <c r="G33" s="15" t="s">
        <v>186</v>
      </c>
      <c r="H33" s="15" t="s">
        <v>14</v>
      </c>
    </row>
    <row r="34" spans="1:8" s="15" customFormat="1" x14ac:dyDescent="0.25">
      <c r="A34" s="18" t="s">
        <v>40</v>
      </c>
      <c r="B34" s="35">
        <v>40</v>
      </c>
      <c r="C34" s="16" t="s">
        <v>5</v>
      </c>
      <c r="D34" s="16">
        <f>LOOKUP(C34,$L$2:$M$5)*B34</f>
        <v>40</v>
      </c>
      <c r="E34" s="16">
        <v>1.1000000000000001</v>
      </c>
      <c r="F34" s="16">
        <f t="shared" si="0"/>
        <v>44</v>
      </c>
      <c r="G34" s="15" t="s">
        <v>61</v>
      </c>
      <c r="H34" s="15" t="s">
        <v>34</v>
      </c>
    </row>
    <row r="35" spans="1:8" s="15" customFormat="1" x14ac:dyDescent="0.25">
      <c r="A35" s="18" t="s">
        <v>41</v>
      </c>
      <c r="B35" s="19">
        <v>30</v>
      </c>
      <c r="C35" s="16" t="s">
        <v>5</v>
      </c>
      <c r="D35" s="16">
        <f>LOOKUP(C35,$L$2:$M$5)*B35</f>
        <v>30</v>
      </c>
      <c r="E35" s="16">
        <v>1.1000000000000001</v>
      </c>
      <c r="F35" s="16">
        <f t="shared" si="0"/>
        <v>33</v>
      </c>
    </row>
    <row r="36" spans="1:8" s="15" customFormat="1" x14ac:dyDescent="0.25">
      <c r="A36" s="18"/>
      <c r="B36" s="19"/>
      <c r="C36" s="16"/>
      <c r="D36" s="16" t="s">
        <v>16</v>
      </c>
      <c r="E36" s="16"/>
      <c r="F36" s="16"/>
    </row>
    <row r="37" spans="1:8" s="15" customFormat="1" x14ac:dyDescent="0.25">
      <c r="A37" s="26" t="s">
        <v>43</v>
      </c>
      <c r="B37" s="19"/>
      <c r="C37" s="16"/>
      <c r="D37" s="16" t="s">
        <v>16</v>
      </c>
      <c r="E37" s="16"/>
      <c r="F37" s="16"/>
    </row>
    <row r="38" spans="1:8" s="15" customFormat="1" x14ac:dyDescent="0.25">
      <c r="A38" s="18" t="s">
        <v>44</v>
      </c>
      <c r="B38" s="19">
        <v>444</v>
      </c>
      <c r="C38" s="16" t="s">
        <v>4</v>
      </c>
      <c r="D38" s="16">
        <f>LOOKUP(C38,$L$2:$M$5)*B38</f>
        <v>408.48</v>
      </c>
      <c r="E38" s="16">
        <v>1</v>
      </c>
      <c r="F38" s="16">
        <f t="shared" si="0"/>
        <v>408.48</v>
      </c>
      <c r="G38" s="15" t="s">
        <v>280</v>
      </c>
      <c r="H38" s="15" t="s">
        <v>14</v>
      </c>
    </row>
    <row r="39" spans="1:8" s="15" customFormat="1" x14ac:dyDescent="0.25">
      <c r="A39" s="18" t="s">
        <v>45</v>
      </c>
      <c r="B39" s="35">
        <v>1163</v>
      </c>
      <c r="C39" s="16" t="s">
        <v>4</v>
      </c>
      <c r="D39" s="16">
        <f>LOOKUP(C39,$L$2:$M$5)*B39</f>
        <v>1069.96</v>
      </c>
      <c r="E39" s="16">
        <v>1</v>
      </c>
      <c r="F39" s="16">
        <f t="shared" si="0"/>
        <v>1069.96</v>
      </c>
      <c r="G39" s="15" t="s">
        <v>278</v>
      </c>
      <c r="H39" s="15" t="s">
        <v>14</v>
      </c>
    </row>
    <row r="40" spans="1:8" s="15" customFormat="1" x14ac:dyDescent="0.25">
      <c r="A40" s="18" t="s">
        <v>46</v>
      </c>
      <c r="B40" s="19">
        <f>186+30+150</f>
        <v>366</v>
      </c>
      <c r="C40" s="16" t="s">
        <v>23</v>
      </c>
      <c r="D40" s="16">
        <f>LOOKUP(C40,$L$2:$M$5)*B40</f>
        <v>552.66</v>
      </c>
      <c r="E40" s="16">
        <v>1.1000000000000001</v>
      </c>
      <c r="F40" s="16">
        <f t="shared" si="0"/>
        <v>607.92600000000004</v>
      </c>
      <c r="G40" s="15" t="s">
        <v>281</v>
      </c>
      <c r="H40" s="15" t="s">
        <v>34</v>
      </c>
    </row>
    <row r="41" spans="1:8" s="15" customFormat="1" x14ac:dyDescent="0.25">
      <c r="A41" s="18" t="s">
        <v>53</v>
      </c>
      <c r="B41" s="19">
        <v>15</v>
      </c>
      <c r="C41" s="16" t="s">
        <v>23</v>
      </c>
      <c r="D41" s="16">
        <f>LOOKUP(C41,$L$2:$M$5)*B41</f>
        <v>22.65</v>
      </c>
      <c r="E41" s="16">
        <v>1.1000000000000001</v>
      </c>
      <c r="F41" s="16">
        <f t="shared" si="0"/>
        <v>24.914999999999999</v>
      </c>
      <c r="G41" s="15" t="s">
        <v>48</v>
      </c>
      <c r="H41" s="15" t="s">
        <v>34</v>
      </c>
    </row>
    <row r="42" spans="1:8" s="15" customFormat="1" x14ac:dyDescent="0.25">
      <c r="A42" s="18" t="s">
        <v>47</v>
      </c>
      <c r="B42" s="19">
        <v>387</v>
      </c>
      <c r="C42" s="16" t="s">
        <v>4</v>
      </c>
      <c r="D42" s="16">
        <f>LOOKUP(C42,$L$2:$M$5)*B42</f>
        <v>356.04</v>
      </c>
      <c r="E42" s="16">
        <v>1</v>
      </c>
      <c r="F42" s="16">
        <f t="shared" si="0"/>
        <v>356.04</v>
      </c>
      <c r="G42" s="15" t="s">
        <v>279</v>
      </c>
      <c r="H42" s="15" t="s">
        <v>14</v>
      </c>
    </row>
    <row r="43" spans="1:8" s="15" customFormat="1" x14ac:dyDescent="0.25">
      <c r="A43" s="18" t="s">
        <v>114</v>
      </c>
      <c r="B43" s="19"/>
      <c r="C43" s="16"/>
      <c r="D43" s="16">
        <f>SUM(D38:D42)</f>
        <v>2409.79</v>
      </c>
      <c r="E43" s="16">
        <v>1.1000000000000001</v>
      </c>
      <c r="F43" s="16">
        <f t="shared" si="0"/>
        <v>2650.7689999999998</v>
      </c>
    </row>
    <row r="44" spans="1:8" s="15" customFormat="1" x14ac:dyDescent="0.25">
      <c r="A44" s="18" t="s">
        <v>131</v>
      </c>
      <c r="B44" s="19"/>
      <c r="C44" s="16"/>
      <c r="D44" s="16">
        <f>D43</f>
        <v>2409.79</v>
      </c>
      <c r="E44" s="16">
        <v>1.1000000000000001</v>
      </c>
      <c r="F44" s="16">
        <f t="shared" si="0"/>
        <v>2650.7689999999998</v>
      </c>
      <c r="G44" s="15" t="s">
        <v>132</v>
      </c>
    </row>
    <row r="45" spans="1:8" s="15" customFormat="1" x14ac:dyDescent="0.25">
      <c r="A45" s="18"/>
      <c r="B45" s="19"/>
      <c r="C45" s="16"/>
      <c r="D45" s="16"/>
      <c r="E45" s="16"/>
      <c r="F45" s="16"/>
    </row>
    <row r="46" spans="1:8" s="15" customFormat="1" x14ac:dyDescent="0.25">
      <c r="A46" s="18" t="s">
        <v>50</v>
      </c>
      <c r="B46" s="19">
        <f>B38*0.62</f>
        <v>275</v>
      </c>
      <c r="C46" s="16" t="s">
        <v>4</v>
      </c>
      <c r="D46" s="16">
        <f>LOOKUP(C46,$L$2:$M$5)*B46</f>
        <v>253</v>
      </c>
      <c r="E46" s="16">
        <v>1</v>
      </c>
      <c r="F46" s="16">
        <f t="shared" si="0"/>
        <v>253</v>
      </c>
      <c r="G46" s="15" t="s">
        <v>56</v>
      </c>
      <c r="H46" s="15" t="s">
        <v>14</v>
      </c>
    </row>
    <row r="47" spans="1:8" s="15" customFormat="1" x14ac:dyDescent="0.25">
      <c r="A47" s="18" t="s">
        <v>51</v>
      </c>
      <c r="B47" s="19">
        <f>B39*0.81</f>
        <v>942</v>
      </c>
      <c r="C47" s="16" t="s">
        <v>4</v>
      </c>
      <c r="D47" s="16">
        <f>LOOKUP(C47,$L$2:$M$5)*B47</f>
        <v>866.64</v>
      </c>
      <c r="E47" s="16">
        <v>1</v>
      </c>
      <c r="F47" s="16">
        <f t="shared" si="0"/>
        <v>866.64</v>
      </c>
      <c r="G47" s="15" t="s">
        <v>57</v>
      </c>
      <c r="H47" s="15" t="s">
        <v>14</v>
      </c>
    </row>
    <row r="48" spans="1:8" s="15" customFormat="1" x14ac:dyDescent="0.25">
      <c r="A48" s="18" t="s">
        <v>52</v>
      </c>
      <c r="B48" s="19">
        <f>107+150+30</f>
        <v>287</v>
      </c>
      <c r="C48" s="16" t="s">
        <v>23</v>
      </c>
      <c r="D48" s="16">
        <f>LOOKUP(C48,$L$2:$M$5)*B48</f>
        <v>433.37</v>
      </c>
      <c r="E48" s="16">
        <v>1.1000000000000001</v>
      </c>
      <c r="F48" s="16">
        <f t="shared" si="0"/>
        <v>476.70699999999999</v>
      </c>
      <c r="G48" s="15" t="s">
        <v>282</v>
      </c>
      <c r="H48" s="15" t="s">
        <v>34</v>
      </c>
    </row>
    <row r="49" spans="1:9" s="15" customFormat="1" x14ac:dyDescent="0.25">
      <c r="A49" s="18" t="s">
        <v>54</v>
      </c>
      <c r="B49" s="19">
        <v>15</v>
      </c>
      <c r="C49" s="16" t="s">
        <v>23</v>
      </c>
      <c r="D49" s="16">
        <f>LOOKUP(C49,$L$2:$M$5)*B49</f>
        <v>22.65</v>
      </c>
      <c r="E49" s="16">
        <v>1.1000000000000001</v>
      </c>
      <c r="F49" s="16">
        <f t="shared" si="0"/>
        <v>24.914999999999999</v>
      </c>
      <c r="G49" s="15" t="s">
        <v>48</v>
      </c>
      <c r="H49" s="15" t="s">
        <v>34</v>
      </c>
    </row>
    <row r="50" spans="1:9" s="15" customFormat="1" x14ac:dyDescent="0.25">
      <c r="A50" s="18" t="s">
        <v>55</v>
      </c>
      <c r="B50" s="19">
        <f>B42*0.6</f>
        <v>232</v>
      </c>
      <c r="C50" s="16" t="s">
        <v>4</v>
      </c>
      <c r="D50" s="16">
        <f>LOOKUP(C50,$L$2:$M$5)*B50</f>
        <v>213.44</v>
      </c>
      <c r="E50" s="16">
        <v>1</v>
      </c>
      <c r="F50" s="16">
        <f t="shared" si="0"/>
        <v>213.44</v>
      </c>
      <c r="G50" s="15" t="s">
        <v>58</v>
      </c>
      <c r="H50" s="15" t="s">
        <v>14</v>
      </c>
    </row>
    <row r="51" spans="1:9" s="15" customFormat="1" x14ac:dyDescent="0.25">
      <c r="A51" s="18" t="s">
        <v>115</v>
      </c>
      <c r="B51" s="19"/>
      <c r="C51" s="16"/>
      <c r="D51" s="16">
        <f>SUM(D46:D50)</f>
        <v>1789.1</v>
      </c>
      <c r="E51" s="16">
        <v>1.1000000000000001</v>
      </c>
      <c r="F51" s="16">
        <f t="shared" si="0"/>
        <v>1968.01</v>
      </c>
    </row>
    <row r="52" spans="1:9" s="15" customFormat="1" x14ac:dyDescent="0.25">
      <c r="A52" s="18" t="s">
        <v>134</v>
      </c>
      <c r="B52" s="19"/>
      <c r="C52" s="16"/>
      <c r="D52" s="16">
        <f>D51</f>
        <v>1789.1</v>
      </c>
      <c r="E52" s="16">
        <v>1.1000000000000001</v>
      </c>
      <c r="F52" s="16">
        <f t="shared" si="0"/>
        <v>1968.01</v>
      </c>
      <c r="G52" s="15" t="s">
        <v>133</v>
      </c>
    </row>
    <row r="53" spans="1:9" s="15" customFormat="1" x14ac:dyDescent="0.25">
      <c r="A53" s="18"/>
      <c r="B53" s="19"/>
      <c r="C53" s="16"/>
      <c r="D53" s="16"/>
      <c r="E53" s="16"/>
      <c r="F53" s="16"/>
    </row>
    <row r="54" spans="1:9" s="15" customFormat="1" x14ac:dyDescent="0.25">
      <c r="A54" s="27" t="s">
        <v>234</v>
      </c>
      <c r="B54" s="19"/>
      <c r="C54" s="16"/>
      <c r="D54" s="16" t="s">
        <v>16</v>
      </c>
      <c r="E54" s="16"/>
      <c r="F54" s="16"/>
    </row>
    <row r="55" spans="1:9" s="15" customFormat="1" x14ac:dyDescent="0.25">
      <c r="A55" s="18" t="s">
        <v>113</v>
      </c>
      <c r="B55" s="19">
        <v>0</v>
      </c>
      <c r="C55" s="16" t="s">
        <v>5</v>
      </c>
      <c r="D55" s="16">
        <f t="shared" ref="D55:D62" si="1">LOOKUP(C55,$L$2:$M$5)*B55</f>
        <v>0</v>
      </c>
      <c r="E55" s="16"/>
      <c r="F55" s="16"/>
      <c r="G55" s="15" t="s">
        <v>116</v>
      </c>
      <c r="I55" s="15" t="s">
        <v>16</v>
      </c>
    </row>
    <row r="56" spans="1:9" s="15" customFormat="1" x14ac:dyDescent="0.25">
      <c r="A56" s="15" t="s">
        <v>7</v>
      </c>
      <c r="B56" s="19">
        <v>500000</v>
      </c>
      <c r="C56" s="16" t="s">
        <v>5</v>
      </c>
      <c r="D56" s="16">
        <f t="shared" si="1"/>
        <v>500000</v>
      </c>
      <c r="E56" s="16">
        <v>1</v>
      </c>
      <c r="F56" s="16">
        <f t="shared" si="0"/>
        <v>500000</v>
      </c>
      <c r="G56" s="15" t="s">
        <v>184</v>
      </c>
      <c r="H56" s="15" t="s">
        <v>6</v>
      </c>
      <c r="I56" s="15" t="s">
        <v>16</v>
      </c>
    </row>
    <row r="57" spans="1:9" s="15" customFormat="1" x14ac:dyDescent="0.25">
      <c r="A57" s="15" t="s">
        <v>64</v>
      </c>
      <c r="B57" s="19">
        <v>490</v>
      </c>
      <c r="C57" s="16" t="s">
        <v>63</v>
      </c>
      <c r="D57" s="16">
        <f t="shared" si="1"/>
        <v>592.9</v>
      </c>
      <c r="E57" s="16">
        <v>1.1000000000000001</v>
      </c>
      <c r="F57" s="16">
        <f t="shared" si="0"/>
        <v>652.19000000000005</v>
      </c>
      <c r="G57" s="15" t="s">
        <v>16</v>
      </c>
      <c r="I57" s="15" t="s">
        <v>16</v>
      </c>
    </row>
    <row r="58" spans="1:9" s="15" customFormat="1" x14ac:dyDescent="0.25">
      <c r="A58" s="15" t="s">
        <v>65</v>
      </c>
      <c r="B58" s="19">
        <v>400</v>
      </c>
      <c r="C58" s="16" t="s">
        <v>63</v>
      </c>
      <c r="D58" s="16">
        <f t="shared" si="1"/>
        <v>484</v>
      </c>
      <c r="E58" s="16">
        <v>1.1000000000000001</v>
      </c>
      <c r="F58" s="16">
        <f t="shared" si="0"/>
        <v>532.4</v>
      </c>
      <c r="G58" s="15" t="s">
        <v>16</v>
      </c>
      <c r="I58" s="15" t="s">
        <v>16</v>
      </c>
    </row>
    <row r="59" spans="1:9" s="15" customFormat="1" x14ac:dyDescent="0.25">
      <c r="A59" s="15" t="s">
        <v>66</v>
      </c>
      <c r="B59" s="19">
        <v>1100</v>
      </c>
      <c r="C59" s="16" t="s">
        <v>63</v>
      </c>
      <c r="D59" s="16">
        <f t="shared" si="1"/>
        <v>1331</v>
      </c>
      <c r="E59" s="16">
        <v>1.1000000000000001</v>
      </c>
      <c r="F59" s="16">
        <f>D59*E59</f>
        <v>1464.1</v>
      </c>
    </row>
    <row r="60" spans="1:9" s="28" customFormat="1" x14ac:dyDescent="0.25">
      <c r="A60" s="28" t="s">
        <v>235</v>
      </c>
      <c r="B60" s="28">
        <f>0.04439*1000000</f>
        <v>44390</v>
      </c>
      <c r="C60" s="29" t="s">
        <v>5</v>
      </c>
      <c r="D60" s="29">
        <f t="shared" si="1"/>
        <v>44390</v>
      </c>
      <c r="E60" s="29">
        <v>1</v>
      </c>
      <c r="F60" s="29">
        <f>D60*E60</f>
        <v>44390</v>
      </c>
      <c r="G60" s="28" t="s">
        <v>236</v>
      </c>
      <c r="H60" s="28" t="s">
        <v>6</v>
      </c>
    </row>
    <row r="61" spans="1:9" s="15" customFormat="1" x14ac:dyDescent="0.25">
      <c r="A61" s="15" t="s">
        <v>238</v>
      </c>
      <c r="B61" s="15">
        <f>0.028070175*1000000</f>
        <v>28070.174999999999</v>
      </c>
      <c r="C61" s="16" t="s">
        <v>5</v>
      </c>
      <c r="D61" s="16">
        <f t="shared" si="1"/>
        <v>28070.174999999999</v>
      </c>
      <c r="E61" s="16">
        <v>1</v>
      </c>
      <c r="F61" s="16">
        <f>D61*E61</f>
        <v>28070.174999999999</v>
      </c>
      <c r="G61" s="15" t="s">
        <v>237</v>
      </c>
      <c r="H61" s="15" t="s">
        <v>6</v>
      </c>
    </row>
    <row r="62" spans="1:9" s="15" customFormat="1" x14ac:dyDescent="0.25">
      <c r="A62" s="15" t="s">
        <v>246</v>
      </c>
      <c r="B62" s="19">
        <v>1000000</v>
      </c>
      <c r="C62" s="16" t="s">
        <v>5</v>
      </c>
      <c r="D62" s="16">
        <f t="shared" si="1"/>
        <v>1000000</v>
      </c>
      <c r="E62" s="16">
        <v>1</v>
      </c>
      <c r="F62" s="16">
        <f>D62*E62</f>
        <v>1000000</v>
      </c>
      <c r="G62" s="15" t="s">
        <v>239</v>
      </c>
      <c r="H62" s="15" t="s">
        <v>6</v>
      </c>
    </row>
    <row r="63" spans="1:9" s="15" customFormat="1" x14ac:dyDescent="0.25">
      <c r="C63" s="16"/>
      <c r="D63" s="16"/>
      <c r="E63" s="16"/>
      <c r="F63" s="16"/>
    </row>
    <row r="64" spans="1:9" s="15" customFormat="1" x14ac:dyDescent="0.25">
      <c r="C64" s="16"/>
      <c r="D64" s="16"/>
      <c r="E64" s="16"/>
      <c r="F64" s="16"/>
    </row>
  </sheetData>
  <sheetProtection selectLockedCells="1" selectUnlockedCells="1"/>
  <phoneticPr fontId="5"/>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70C0"/>
  </sheetPr>
  <dimension ref="A1:Q31"/>
  <sheetViews>
    <sheetView zoomScale="90" zoomScaleNormal="90" zoomScalePageLayoutView="90" workbookViewId="0">
      <selection activeCell="A9" sqref="A9"/>
    </sheetView>
  </sheetViews>
  <sheetFormatPr defaultColWidth="8.77734375" defaultRowHeight="13.2" x14ac:dyDescent="0.25"/>
  <cols>
    <col min="1" max="1" width="66.44140625" customWidth="1"/>
    <col min="2" max="2" width="8.77734375" style="4"/>
    <col min="3" max="3" width="20" customWidth="1"/>
    <col min="4" max="4" width="27.33203125" customWidth="1"/>
    <col min="5" max="5" width="15.44140625" customWidth="1"/>
    <col min="7" max="7" width="30.44140625" customWidth="1"/>
    <col min="10" max="10" width="30.44140625" customWidth="1"/>
    <col min="13" max="13" width="16.44140625" customWidth="1"/>
    <col min="16" max="16" width="37.6640625" customWidth="1"/>
  </cols>
  <sheetData>
    <row r="1" spans="1:17" x14ac:dyDescent="0.25">
      <c r="B1" s="4" t="s">
        <v>118</v>
      </c>
      <c r="C1" t="s">
        <v>119</v>
      </c>
      <c r="D1" t="s">
        <v>120</v>
      </c>
      <c r="E1" t="s">
        <v>123</v>
      </c>
      <c r="F1" t="s">
        <v>18</v>
      </c>
      <c r="G1" t="s">
        <v>17</v>
      </c>
      <c r="H1" t="s">
        <v>10</v>
      </c>
    </row>
    <row r="2" spans="1:17" x14ac:dyDescent="0.25">
      <c r="A2" t="s">
        <v>117</v>
      </c>
      <c r="B2" s="11">
        <v>1</v>
      </c>
      <c r="C2" s="11">
        <v>1</v>
      </c>
      <c r="D2" s="11">
        <v>1</v>
      </c>
      <c r="E2" s="11"/>
      <c r="F2" s="11">
        <v>1</v>
      </c>
      <c r="G2" s="11">
        <v>1</v>
      </c>
      <c r="H2" s="11">
        <v>1</v>
      </c>
    </row>
    <row r="3" spans="1:17" x14ac:dyDescent="0.25">
      <c r="A3" t="s">
        <v>121</v>
      </c>
      <c r="B3" s="11">
        <f>Q15</f>
        <v>1.05</v>
      </c>
      <c r="C3" s="11"/>
      <c r="D3" s="11"/>
      <c r="E3" s="11"/>
      <c r="F3" s="11"/>
      <c r="G3" s="11"/>
      <c r="H3" s="11"/>
    </row>
    <row r="4" spans="1:17" x14ac:dyDescent="0.25">
      <c r="A4" t="s">
        <v>122</v>
      </c>
      <c r="B4" s="11"/>
      <c r="C4" s="11">
        <f>B3*K15</f>
        <v>1.5329999999999999</v>
      </c>
      <c r="D4" s="11">
        <f>B3*K16</f>
        <v>1.2290000000000001</v>
      </c>
      <c r="E4" s="11">
        <f>B3*N15</f>
        <v>1.1659999999999999</v>
      </c>
      <c r="F4" s="11">
        <f>B3*H16</f>
        <v>1.155</v>
      </c>
      <c r="G4" s="11"/>
      <c r="H4" s="11"/>
    </row>
    <row r="5" spans="1:17" x14ac:dyDescent="0.25">
      <c r="A5" t="s">
        <v>124</v>
      </c>
      <c r="B5" s="11"/>
      <c r="C5" s="11"/>
      <c r="D5" s="11"/>
      <c r="E5" s="11"/>
      <c r="F5" s="11"/>
      <c r="G5" s="11">
        <f>F4*E15</f>
        <v>1.236</v>
      </c>
      <c r="H5" s="11">
        <f>F4*E16</f>
        <v>1.19</v>
      </c>
    </row>
    <row r="6" spans="1:17" x14ac:dyDescent="0.25">
      <c r="A6" t="s">
        <v>125</v>
      </c>
      <c r="B6" s="11"/>
      <c r="C6" s="11"/>
      <c r="D6" s="11"/>
      <c r="E6" s="11"/>
      <c r="F6" s="11"/>
      <c r="G6" s="11"/>
      <c r="H6" s="11">
        <f>H5*B12</f>
        <v>1.345</v>
      </c>
    </row>
    <row r="7" spans="1:17" x14ac:dyDescent="0.25">
      <c r="B7" s="8"/>
      <c r="C7" s="8"/>
      <c r="D7" s="8"/>
      <c r="E7" s="8"/>
      <c r="G7" s="8"/>
      <c r="H7" s="8"/>
    </row>
    <row r="8" spans="1:17" x14ac:dyDescent="0.25">
      <c r="A8" t="s">
        <v>70</v>
      </c>
      <c r="D8" t="s">
        <v>74</v>
      </c>
      <c r="G8" t="s">
        <v>82</v>
      </c>
      <c r="H8" s="4"/>
      <c r="J8" t="s">
        <v>90</v>
      </c>
      <c r="K8" s="4"/>
      <c r="M8" t="s">
        <v>96</v>
      </c>
      <c r="P8" t="s">
        <v>99</v>
      </c>
    </row>
    <row r="9" spans="1:17" x14ac:dyDescent="0.25">
      <c r="A9" t="s">
        <v>71</v>
      </c>
      <c r="B9" s="4">
        <v>0.9</v>
      </c>
      <c r="D9" t="s">
        <v>75</v>
      </c>
      <c r="E9" s="4">
        <v>0.98</v>
      </c>
      <c r="G9" t="s">
        <v>87</v>
      </c>
      <c r="H9" s="4">
        <v>0.98</v>
      </c>
      <c r="J9" t="s">
        <v>91</v>
      </c>
      <c r="K9" s="4">
        <v>0.8</v>
      </c>
      <c r="M9" t="s">
        <v>97</v>
      </c>
      <c r="N9">
        <v>0.9</v>
      </c>
      <c r="P9" t="s">
        <v>100</v>
      </c>
      <c r="Q9">
        <v>0.95</v>
      </c>
    </row>
    <row r="10" spans="1:17" x14ac:dyDescent="0.25">
      <c r="A10" t="s">
        <v>72</v>
      </c>
      <c r="B10" s="4">
        <v>0.98</v>
      </c>
      <c r="D10" t="s">
        <v>76</v>
      </c>
      <c r="E10" s="4">
        <v>0.98</v>
      </c>
      <c r="G10" t="s">
        <v>88</v>
      </c>
      <c r="H10" s="4">
        <v>0.99</v>
      </c>
      <c r="J10" t="s">
        <v>92</v>
      </c>
      <c r="K10" s="4">
        <v>0.95</v>
      </c>
    </row>
    <row r="11" spans="1:17" x14ac:dyDescent="0.25">
      <c r="D11" t="s">
        <v>77</v>
      </c>
      <c r="E11" s="4">
        <v>0.99</v>
      </c>
      <c r="G11" t="s">
        <v>89</v>
      </c>
      <c r="H11" s="4">
        <v>0.98</v>
      </c>
      <c r="J11" t="s">
        <v>93</v>
      </c>
      <c r="K11" s="4">
        <v>0.9</v>
      </c>
    </row>
    <row r="12" spans="1:17" x14ac:dyDescent="0.25">
      <c r="A12" t="s">
        <v>73</v>
      </c>
      <c r="B12" s="8">
        <f>1/B9/B10</f>
        <v>1.1299999999999999</v>
      </c>
      <c r="D12" t="s">
        <v>78</v>
      </c>
      <c r="E12" s="4">
        <v>0.99</v>
      </c>
      <c r="G12" t="s">
        <v>83</v>
      </c>
      <c r="H12" s="4">
        <v>0.99</v>
      </c>
    </row>
    <row r="13" spans="1:17" x14ac:dyDescent="0.25">
      <c r="D13" t="s">
        <v>79</v>
      </c>
      <c r="E13" s="4">
        <v>0.99</v>
      </c>
    </row>
    <row r="14" spans="1:17" x14ac:dyDescent="0.25">
      <c r="E14" s="4"/>
    </row>
    <row r="15" spans="1:17" x14ac:dyDescent="0.25">
      <c r="D15" t="s">
        <v>80</v>
      </c>
      <c r="E15" s="8">
        <f>1/E13/E12/E11/E10/E9</f>
        <v>1.07</v>
      </c>
      <c r="G15" t="s">
        <v>84</v>
      </c>
      <c r="H15" s="8">
        <f>1/H9/H9/H9/H10/H10/H10/H11/H12</f>
        <v>1.1299999999999999</v>
      </c>
      <c r="J15" t="s">
        <v>94</v>
      </c>
      <c r="K15" s="8">
        <f>1/K11/K10/K9</f>
        <v>1.46</v>
      </c>
      <c r="M15" t="s">
        <v>98</v>
      </c>
      <c r="N15" s="8">
        <f>1/N9</f>
        <v>1.1100000000000001</v>
      </c>
      <c r="P15" t="s">
        <v>101</v>
      </c>
      <c r="Q15" s="8">
        <f>1/Q9</f>
        <v>1.05</v>
      </c>
    </row>
    <row r="16" spans="1:17" x14ac:dyDescent="0.25">
      <c r="D16" t="s">
        <v>81</v>
      </c>
      <c r="E16" s="8">
        <f>1/E13/E12/E11</f>
        <v>1.03</v>
      </c>
      <c r="G16" t="s">
        <v>85</v>
      </c>
      <c r="H16" s="8">
        <f>1/H9/H9/H10/H10/H11/H12</f>
        <v>1.1000000000000001</v>
      </c>
      <c r="J16" t="s">
        <v>95</v>
      </c>
      <c r="K16" s="8">
        <f>1/K11/K10</f>
        <v>1.17</v>
      </c>
    </row>
    <row r="17" spans="1:8" x14ac:dyDescent="0.25">
      <c r="G17" t="s">
        <v>86</v>
      </c>
      <c r="H17" s="8">
        <f>1/H9/H10/H11/H12</f>
        <v>1.06</v>
      </c>
    </row>
    <row r="19" spans="1:8" x14ac:dyDescent="0.25">
      <c r="A19" t="s">
        <v>102</v>
      </c>
      <c r="B19" s="8">
        <f>B12*E16*H17*Q15</f>
        <v>1.3</v>
      </c>
      <c r="C19" t="s">
        <v>16</v>
      </c>
      <c r="H19" t="s">
        <v>16</v>
      </c>
    </row>
    <row r="20" spans="1:8" x14ac:dyDescent="0.25">
      <c r="A20" t="s">
        <v>103</v>
      </c>
      <c r="B20" s="8">
        <f>B12*E16*H16*Q15</f>
        <v>1.34</v>
      </c>
    </row>
    <row r="21" spans="1:8" x14ac:dyDescent="0.25">
      <c r="A21" t="s">
        <v>104</v>
      </c>
      <c r="B21" s="8">
        <f>E15*H17*Q15</f>
        <v>1.19</v>
      </c>
    </row>
    <row r="22" spans="1:8" x14ac:dyDescent="0.25">
      <c r="A22" t="s">
        <v>105</v>
      </c>
      <c r="B22" s="8">
        <f>E15*H16*Q15</f>
        <v>1.24</v>
      </c>
    </row>
    <row r="23" spans="1:8" x14ac:dyDescent="0.25">
      <c r="A23" t="s">
        <v>106</v>
      </c>
      <c r="B23" s="8">
        <f>H17*Q15</f>
        <v>1.1100000000000001</v>
      </c>
    </row>
    <row r="24" spans="1:8" x14ac:dyDescent="0.25">
      <c r="A24" t="s">
        <v>107</v>
      </c>
      <c r="B24" s="11">
        <f>H16*Q15</f>
        <v>1.155</v>
      </c>
    </row>
    <row r="25" spans="1:8" x14ac:dyDescent="0.25">
      <c r="A25" t="s">
        <v>108</v>
      </c>
      <c r="B25" s="8">
        <f>K15*Q15</f>
        <v>1.53</v>
      </c>
    </row>
    <row r="26" spans="1:8" x14ac:dyDescent="0.25">
      <c r="A26" t="s">
        <v>109</v>
      </c>
      <c r="B26" s="8">
        <f>K16*Q15</f>
        <v>1.23</v>
      </c>
    </row>
    <row r="27" spans="1:8" x14ac:dyDescent="0.25">
      <c r="A27" t="s">
        <v>110</v>
      </c>
      <c r="B27" s="8">
        <f>N15*Q15</f>
        <v>1.17</v>
      </c>
    </row>
    <row r="28" spans="1:8" x14ac:dyDescent="0.25">
      <c r="B28" s="8"/>
    </row>
    <row r="29" spans="1:8" x14ac:dyDescent="0.25">
      <c r="A29" t="s">
        <v>223</v>
      </c>
      <c r="B29" s="8">
        <v>1.05</v>
      </c>
      <c r="C29" t="s">
        <v>225</v>
      </c>
    </row>
    <row r="30" spans="1:8" x14ac:dyDescent="0.25">
      <c r="A30" t="s">
        <v>224</v>
      </c>
      <c r="B30" s="8">
        <v>2</v>
      </c>
      <c r="C30" t="s">
        <v>226</v>
      </c>
    </row>
    <row r="31" spans="1:8" x14ac:dyDescent="0.25">
      <c r="B31" s="8"/>
    </row>
  </sheetData>
  <phoneticPr fontId="5"/>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AB62"/>
  <sheetViews>
    <sheetView topLeftCell="R1" zoomScale="90" zoomScaleNormal="90" zoomScalePageLayoutView="90" workbookViewId="0">
      <selection activeCell="Z5" sqref="Z5:Z41"/>
    </sheetView>
  </sheetViews>
  <sheetFormatPr defaultColWidth="8.77734375" defaultRowHeight="13.2" x14ac:dyDescent="0.25"/>
  <cols>
    <col min="1" max="1" width="19.109375" bestFit="1" customWidth="1"/>
    <col min="2" max="2" width="28.44140625" customWidth="1"/>
    <col min="3" max="3" width="11.77734375" customWidth="1"/>
    <col min="4" max="4" width="8.6640625" hidden="1" customWidth="1"/>
    <col min="5" max="6" width="8.33203125" hidden="1" customWidth="1"/>
    <col min="7" max="7" width="8.77734375" hidden="1" customWidth="1"/>
    <col min="8" max="8" width="8.6640625" hidden="1" customWidth="1"/>
    <col min="9" max="9" width="8.44140625" hidden="1" customWidth="1"/>
    <col min="10" max="10" width="9.44140625" hidden="1" customWidth="1"/>
    <col min="11" max="15" width="8.77734375" hidden="1" customWidth="1"/>
    <col min="16" max="16" width="11.44140625" hidden="1" customWidth="1"/>
    <col min="18" max="18" width="8.77734375" customWidth="1"/>
    <col min="20" max="20" width="10.109375" customWidth="1"/>
    <col min="23" max="23" width="11.44140625" customWidth="1"/>
    <col min="24" max="24" width="10.44140625" customWidth="1"/>
    <col min="26" max="26" width="11.6640625" customWidth="1"/>
    <col min="27" max="27" width="12" customWidth="1"/>
  </cols>
  <sheetData>
    <row r="1" spans="1:28" x14ac:dyDescent="0.25">
      <c r="M1" t="s">
        <v>273</v>
      </c>
      <c r="Z1" t="str">
        <f>M1</f>
        <v>Examples</v>
      </c>
    </row>
    <row r="2" spans="1:28" ht="42" customHeight="1" x14ac:dyDescent="0.25">
      <c r="C2" t="s">
        <v>263</v>
      </c>
      <c r="D2" t="s">
        <v>260</v>
      </c>
      <c r="E2" t="s">
        <v>266</v>
      </c>
      <c r="F2" s="25" t="s">
        <v>285</v>
      </c>
      <c r="G2" s="25" t="s">
        <v>286</v>
      </c>
      <c r="H2" s="25" t="s">
        <v>268</v>
      </c>
      <c r="I2" s="25" t="s">
        <v>269</v>
      </c>
      <c r="J2" s="25" t="s">
        <v>270</v>
      </c>
      <c r="K2" s="25" t="s">
        <v>271</v>
      </c>
      <c r="L2" s="25" t="s">
        <v>274</v>
      </c>
      <c r="M2" s="25" t="s">
        <v>275</v>
      </c>
      <c r="N2" s="25" t="s">
        <v>276</v>
      </c>
      <c r="O2" s="25" t="s">
        <v>277</v>
      </c>
      <c r="P2" s="25" t="str">
        <f>C2</f>
        <v>Full Detector</v>
      </c>
      <c r="Q2" s="25" t="str">
        <f t="shared" ref="Q2:Z2" si="0">D2</f>
        <v>Barrel</v>
      </c>
      <c r="R2" s="25" t="str">
        <f t="shared" si="0"/>
        <v>Endcaps</v>
      </c>
      <c r="S2" s="25" t="str">
        <f t="shared" si="0"/>
        <v>Full fraction of Barrel</v>
      </c>
      <c r="T2" s="25" t="str">
        <f t="shared" si="0"/>
        <v>Full fraction of End Cap</v>
      </c>
      <c r="U2" s="25" t="str">
        <f t="shared" si="0"/>
        <v>All Stuff on X Staves</v>
      </c>
      <c r="V2" s="25" t="str">
        <f t="shared" si="0"/>
        <v>All Stuff on X Petals</v>
      </c>
      <c r="W2" s="25" t="str">
        <f t="shared" si="0"/>
        <v>X average barrel modules</v>
      </c>
      <c r="X2" s="25" t="str">
        <f t="shared" si="0"/>
        <v>X average EC modules</v>
      </c>
      <c r="Y2" s="25" t="str">
        <f t="shared" si="0"/>
        <v>1/2 Barrel</v>
      </c>
      <c r="Z2" s="25" t="str">
        <f t="shared" si="0"/>
        <v>1 Disk with services, etc.</v>
      </c>
      <c r="AA2" s="25" t="str">
        <f t="shared" ref="AA2" si="1">N2</f>
        <v>50 Stave with all components</v>
      </c>
      <c r="AB2" s="25" t="str">
        <f t="shared" ref="AB2" si="2">O2</f>
        <v>750 EC Modules</v>
      </c>
    </row>
    <row r="3" spans="1:28" x14ac:dyDescent="0.25">
      <c r="A3" t="s">
        <v>242</v>
      </c>
      <c r="B3" t="s">
        <v>126</v>
      </c>
      <c r="E3" s="14" t="s">
        <v>267</v>
      </c>
      <c r="F3" s="15">
        <f>INT((B47+C47)*F4+0.9)</f>
        <v>157</v>
      </c>
      <c r="G3" s="15">
        <f>INT(D47*G4+0.9)</f>
        <v>32</v>
      </c>
      <c r="H3" s="10">
        <v>50</v>
      </c>
      <c r="I3" s="10">
        <v>100</v>
      </c>
      <c r="J3" s="10">
        <v>1000</v>
      </c>
      <c r="K3" s="10">
        <v>750</v>
      </c>
      <c r="R3" s="14" t="str">
        <f>E3</f>
        <v>N Units</v>
      </c>
      <c r="S3" s="65">
        <f>INT((O47+P47)*S4+0.9)</f>
        <v>392</v>
      </c>
      <c r="T3" s="65">
        <f>INT(Q47*T4+0.9)</f>
        <v>32</v>
      </c>
      <c r="U3" s="10">
        <v>392</v>
      </c>
      <c r="V3" s="10">
        <f>32*12</f>
        <v>384</v>
      </c>
      <c r="W3" s="10">
        <v>10976</v>
      </c>
      <c r="X3" s="10">
        <v>6912</v>
      </c>
    </row>
    <row r="4" spans="1:28" ht="26.4" x14ac:dyDescent="0.25">
      <c r="E4" s="39" t="s">
        <v>272</v>
      </c>
      <c r="F4" s="10">
        <v>0.4</v>
      </c>
      <c r="G4" s="10">
        <f>1/12</f>
        <v>8.3333333333333301E-2</v>
      </c>
      <c r="H4">
        <f>H3/(B47+C47)</f>
        <v>0.12755102040816299</v>
      </c>
      <c r="I4">
        <f>I3/(D47)</f>
        <v>0.26041666666666702</v>
      </c>
      <c r="J4">
        <f>J3/D56</f>
        <v>9.1107871720116598E-2</v>
      </c>
      <c r="K4">
        <f>K3/E56</f>
        <v>0.108506944444444</v>
      </c>
      <c r="R4" s="39" t="str">
        <f>E4</f>
        <v>Fraction of total</v>
      </c>
      <c r="S4" s="10">
        <v>1</v>
      </c>
      <c r="T4" s="10">
        <f>1/12</f>
        <v>8.3333333333333301E-2</v>
      </c>
      <c r="U4" s="12">
        <f>U3/(O47+P47)</f>
        <v>1</v>
      </c>
      <c r="V4" s="12">
        <f>V3/(Q47)</f>
        <v>1</v>
      </c>
      <c r="W4" s="12">
        <f>W3/Q56</f>
        <v>1</v>
      </c>
      <c r="X4" s="12">
        <f>X3/R56</f>
        <v>1</v>
      </c>
    </row>
    <row r="5" spans="1:28" ht="26.4" x14ac:dyDescent="0.25">
      <c r="A5" s="14" t="s">
        <v>189</v>
      </c>
      <c r="B5" s="18" t="str">
        <f>'Strip Components cost'!A14</f>
        <v>HPK cost per mask set, sensor type</v>
      </c>
      <c r="C5" s="60">
        <f>8</f>
        <v>8</v>
      </c>
      <c r="D5" s="60">
        <v>2</v>
      </c>
      <c r="E5" s="60">
        <v>6</v>
      </c>
      <c r="F5" s="60">
        <f>F4*D5</f>
        <v>0.8</v>
      </c>
      <c r="G5" s="60">
        <f>G4*E5</f>
        <v>0.5</v>
      </c>
      <c r="H5" s="60">
        <f>H4*D5</f>
        <v>0.26</v>
      </c>
      <c r="I5" s="60">
        <f>E5*I4</f>
        <v>1.56</v>
      </c>
      <c r="J5" s="60">
        <f>J4*D5</f>
        <v>0.18</v>
      </c>
      <c r="K5" s="60">
        <f>K4*E5</f>
        <v>0.65</v>
      </c>
      <c r="L5" s="17">
        <f>D5/2</f>
        <v>1</v>
      </c>
      <c r="M5" s="17">
        <v>0.5</v>
      </c>
      <c r="N5" s="17">
        <v>0.26</v>
      </c>
      <c r="O5" s="17">
        <v>0.65</v>
      </c>
      <c r="P5" s="117">
        <v>1</v>
      </c>
      <c r="Q5" s="117">
        <f>D5/$C5</f>
        <v>0.25</v>
      </c>
      <c r="R5" s="117">
        <f t="shared" ref="Q5:R41" si="3">E5/$C5</f>
        <v>0.75</v>
      </c>
      <c r="S5" s="117">
        <f>S4*Q5</f>
        <v>0.25</v>
      </c>
      <c r="T5" s="117">
        <f>T4*R5</f>
        <v>6.3E-2</v>
      </c>
      <c r="U5" s="117">
        <f>U4*Q5</f>
        <v>0.25</v>
      </c>
      <c r="V5" s="117">
        <f>R5*V4</f>
        <v>0.75</v>
      </c>
      <c r="W5" s="117">
        <f>W4*Q5</f>
        <v>0.25</v>
      </c>
      <c r="X5" s="117">
        <f>X4*R5</f>
        <v>0.75</v>
      </c>
      <c r="Y5" s="11">
        <v>0.125</v>
      </c>
      <c r="Z5">
        <v>6.3E-2</v>
      </c>
      <c r="AA5">
        <v>3.2000000000000001E-2</v>
      </c>
      <c r="AB5">
        <v>8.1000000000000003E-2</v>
      </c>
    </row>
    <row r="6" spans="1:28" ht="26.4" x14ac:dyDescent="0.25">
      <c r="A6" s="14" t="s">
        <v>190</v>
      </c>
      <c r="B6" s="18" t="str">
        <f>'Strip Components cost'!A15</f>
        <v>HPK cost per sensor, assuming 1 per 6" wafer</v>
      </c>
      <c r="C6" s="61">
        <f>F56</f>
        <v>17888</v>
      </c>
      <c r="D6" s="61">
        <f>D56</f>
        <v>10976</v>
      </c>
      <c r="E6" s="61">
        <f>E56</f>
        <v>6912</v>
      </c>
      <c r="F6" s="61">
        <f>$D6*F$4</f>
        <v>4390</v>
      </c>
      <c r="G6" s="61">
        <f>$E6*G$4</f>
        <v>576</v>
      </c>
      <c r="H6" s="61">
        <f>$D6*H$4</f>
        <v>1400</v>
      </c>
      <c r="I6" s="61">
        <f>$E6*I$4</f>
        <v>1800</v>
      </c>
      <c r="J6" s="61">
        <f>$D6*J$4</f>
        <v>1000</v>
      </c>
      <c r="K6" s="61">
        <f>$E6*K$4</f>
        <v>750</v>
      </c>
      <c r="L6" s="21">
        <f t="shared" ref="L6:L41" si="4">D6/2</f>
        <v>5488</v>
      </c>
      <c r="M6" s="21">
        <v>576</v>
      </c>
      <c r="N6" s="21">
        <v>1400</v>
      </c>
      <c r="O6" s="21">
        <v>750</v>
      </c>
      <c r="P6" s="117">
        <v>1</v>
      </c>
      <c r="Q6" s="117">
        <f t="shared" si="3"/>
        <v>0.61399999999999999</v>
      </c>
      <c r="R6" s="117">
        <f t="shared" si="3"/>
        <v>0.38600000000000001</v>
      </c>
      <c r="S6" s="117">
        <f>$Q6*S$4</f>
        <v>0.61399999999999999</v>
      </c>
      <c r="T6" s="117">
        <f>$R6*T$4</f>
        <v>3.2000000000000001E-2</v>
      </c>
      <c r="U6" s="117">
        <f>$Q6*U$4</f>
        <v>0.61399999999999999</v>
      </c>
      <c r="V6" s="117">
        <f>$R6*V$4</f>
        <v>0.38600000000000001</v>
      </c>
      <c r="W6" s="117">
        <f>$Q6*W$4</f>
        <v>0.61399999999999999</v>
      </c>
      <c r="X6" s="117">
        <f>$R6*X$4</f>
        <v>0.38600000000000001</v>
      </c>
      <c r="Y6" s="11">
        <v>0.307</v>
      </c>
      <c r="Z6">
        <v>3.2000000000000001E-2</v>
      </c>
      <c r="AA6">
        <v>7.8E-2</v>
      </c>
      <c r="AB6">
        <v>4.2000000000000003E-2</v>
      </c>
    </row>
    <row r="7" spans="1:28" ht="26.4" x14ac:dyDescent="0.25">
      <c r="A7" s="14" t="s">
        <v>191</v>
      </c>
      <c r="B7" s="18" t="str">
        <f>'Strip Components cost'!A5</f>
        <v>IBM 130 nm wafer design mask cost</v>
      </c>
      <c r="C7" s="60">
        <v>2</v>
      </c>
      <c r="D7" s="60">
        <f>D58/F58*2</f>
        <v>1.26</v>
      </c>
      <c r="E7" s="60">
        <f>E58/F58*2</f>
        <v>0.74</v>
      </c>
      <c r="F7" s="60">
        <f>$D7*F$4</f>
        <v>0.5</v>
      </c>
      <c r="G7" s="60">
        <f>$E7*G$4</f>
        <v>0.06</v>
      </c>
      <c r="H7" s="60">
        <f>$D7*H$4</f>
        <v>0.16</v>
      </c>
      <c r="I7" s="60">
        <f>$E7*I$4</f>
        <v>0.19</v>
      </c>
      <c r="J7" s="60">
        <f>$D7*J$4</f>
        <v>0.11</v>
      </c>
      <c r="K7" s="60">
        <f>$E7*K$4</f>
        <v>0.08</v>
      </c>
      <c r="L7" s="17">
        <f t="shared" si="4"/>
        <v>0.63</v>
      </c>
      <c r="M7" s="17">
        <v>0.06</v>
      </c>
      <c r="N7" s="17">
        <v>0.16</v>
      </c>
      <c r="O7" s="17">
        <v>0.08</v>
      </c>
      <c r="P7" s="117">
        <v>1</v>
      </c>
      <c r="Q7" s="117">
        <f t="shared" si="3"/>
        <v>0.63</v>
      </c>
      <c r="R7" s="117">
        <f t="shared" si="3"/>
        <v>0.37</v>
      </c>
      <c r="S7" s="117">
        <f t="shared" ref="S7:S41" si="5">$Q7*S$4</f>
        <v>0.63</v>
      </c>
      <c r="T7" s="117">
        <f t="shared" ref="T7:T41" si="6">$R7*T$4</f>
        <v>3.1E-2</v>
      </c>
      <c r="U7" s="117">
        <f t="shared" ref="U7:U34" si="7">$Q7*U$4</f>
        <v>0.63</v>
      </c>
      <c r="V7" s="117">
        <f t="shared" ref="V7:V35" si="8">$R7*V$4</f>
        <v>0.37</v>
      </c>
      <c r="W7" s="117">
        <f t="shared" ref="W7:W34" si="9">$Q7*W$4</f>
        <v>0.63</v>
      </c>
      <c r="X7" s="117">
        <f t="shared" ref="X7:X34" si="10">$R7*X$4</f>
        <v>0.37</v>
      </c>
      <c r="Y7" s="11">
        <v>0.315</v>
      </c>
      <c r="Z7">
        <v>3.1E-2</v>
      </c>
      <c r="AA7">
        <v>0.08</v>
      </c>
      <c r="AB7">
        <v>0.04</v>
      </c>
    </row>
    <row r="8" spans="1:28" x14ac:dyDescent="0.25">
      <c r="A8" s="14" t="s">
        <v>192</v>
      </c>
      <c r="B8" s="18" t="str">
        <f>'Strip Components cost'!A7</f>
        <v>ABCn costs</v>
      </c>
      <c r="C8" s="61">
        <f>F58</f>
        <v>233856</v>
      </c>
      <c r="D8" s="61">
        <f>D58</f>
        <v>147840</v>
      </c>
      <c r="E8" s="61">
        <f>E58</f>
        <v>86016</v>
      </c>
      <c r="F8" s="61">
        <f t="shared" ref="F8:J37" si="11">$D8*F$4</f>
        <v>59136</v>
      </c>
      <c r="G8" s="61">
        <f t="shared" ref="G8:K37" si="12">$E8*G$4</f>
        <v>7168</v>
      </c>
      <c r="H8" s="61">
        <f t="shared" si="11"/>
        <v>18857</v>
      </c>
      <c r="I8" s="61">
        <f t="shared" si="12"/>
        <v>22400</v>
      </c>
      <c r="J8" s="61">
        <f t="shared" si="11"/>
        <v>13469</v>
      </c>
      <c r="K8" s="61">
        <f t="shared" si="12"/>
        <v>9333</v>
      </c>
      <c r="L8" s="21">
        <f t="shared" si="4"/>
        <v>73920</v>
      </c>
      <c r="M8" s="21">
        <v>7168</v>
      </c>
      <c r="N8" s="21">
        <v>18857</v>
      </c>
      <c r="O8" s="21">
        <v>9333</v>
      </c>
      <c r="P8" s="117">
        <v>1</v>
      </c>
      <c r="Q8" s="117">
        <f t="shared" si="3"/>
        <v>0.63200000000000001</v>
      </c>
      <c r="R8" s="117">
        <f t="shared" si="3"/>
        <v>0.36799999999999999</v>
      </c>
      <c r="S8" s="117">
        <f t="shared" si="5"/>
        <v>0.63200000000000001</v>
      </c>
      <c r="T8" s="117">
        <f t="shared" si="6"/>
        <v>3.1E-2</v>
      </c>
      <c r="U8" s="117">
        <f t="shared" si="7"/>
        <v>0.63200000000000001</v>
      </c>
      <c r="V8" s="117">
        <f t="shared" si="8"/>
        <v>0.36799999999999999</v>
      </c>
      <c r="W8" s="117">
        <f t="shared" si="9"/>
        <v>0.63200000000000001</v>
      </c>
      <c r="X8" s="117">
        <f t="shared" si="10"/>
        <v>0.36799999999999999</v>
      </c>
      <c r="Y8" s="11">
        <v>0.316</v>
      </c>
      <c r="Z8">
        <v>3.1E-2</v>
      </c>
      <c r="AA8">
        <v>8.1000000000000003E-2</v>
      </c>
      <c r="AB8">
        <v>0.04</v>
      </c>
    </row>
    <row r="9" spans="1:28" x14ac:dyDescent="0.25">
      <c r="A9" s="14" t="s">
        <v>193</v>
      </c>
      <c r="B9" s="18" t="str">
        <f>'Strip Components cost'!A11</f>
        <v>HCC cost</v>
      </c>
      <c r="C9" s="61">
        <f>F59</f>
        <v>25536</v>
      </c>
      <c r="D9" s="61">
        <f>D59</f>
        <v>14784</v>
      </c>
      <c r="E9" s="61">
        <f>E59</f>
        <v>10752</v>
      </c>
      <c r="F9" s="61">
        <f t="shared" si="11"/>
        <v>5914</v>
      </c>
      <c r="G9" s="61">
        <f t="shared" si="12"/>
        <v>896</v>
      </c>
      <c r="H9" s="61">
        <f t="shared" si="11"/>
        <v>1886</v>
      </c>
      <c r="I9" s="61">
        <f t="shared" si="12"/>
        <v>2800</v>
      </c>
      <c r="J9" s="61">
        <f t="shared" si="11"/>
        <v>1347</v>
      </c>
      <c r="K9" s="61">
        <f t="shared" si="12"/>
        <v>1167</v>
      </c>
      <c r="L9" s="21">
        <f t="shared" si="4"/>
        <v>7392</v>
      </c>
      <c r="M9" s="21">
        <v>896</v>
      </c>
      <c r="N9" s="21">
        <v>1886</v>
      </c>
      <c r="O9" s="21">
        <v>1167</v>
      </c>
      <c r="P9" s="117">
        <v>1</v>
      </c>
      <c r="Q9" s="117">
        <f t="shared" si="3"/>
        <v>0.57899999999999996</v>
      </c>
      <c r="R9" s="117">
        <f t="shared" si="3"/>
        <v>0.42099999999999999</v>
      </c>
      <c r="S9" s="117">
        <f t="shared" si="5"/>
        <v>0.57899999999999996</v>
      </c>
      <c r="T9" s="117">
        <f t="shared" si="6"/>
        <v>3.5000000000000003E-2</v>
      </c>
      <c r="U9" s="117">
        <f t="shared" si="7"/>
        <v>0.57899999999999996</v>
      </c>
      <c r="V9" s="117">
        <f t="shared" si="8"/>
        <v>0.42099999999999999</v>
      </c>
      <c r="W9" s="117">
        <f t="shared" si="9"/>
        <v>0.57899999999999996</v>
      </c>
      <c r="X9" s="117">
        <f t="shared" si="10"/>
        <v>0.42099999999999999</v>
      </c>
      <c r="Y9" s="11">
        <v>0.28999999999999998</v>
      </c>
      <c r="Z9">
        <v>3.5000000000000003E-2</v>
      </c>
      <c r="AA9">
        <v>7.3999999999999996E-2</v>
      </c>
      <c r="AB9">
        <v>4.5999999999999999E-2</v>
      </c>
    </row>
    <row r="10" spans="1:28" ht="26.4" x14ac:dyDescent="0.25">
      <c r="A10" s="14" t="s">
        <v>194</v>
      </c>
      <c r="B10" s="18" t="str">
        <f>'Strip Components cost'!A18</f>
        <v>Bare flex hybrids in panel with 3 or 4 layers</v>
      </c>
      <c r="C10" s="61">
        <f>F57</f>
        <v>24768</v>
      </c>
      <c r="D10" s="61">
        <f>D57</f>
        <v>14784</v>
      </c>
      <c r="E10" s="61">
        <f>$E$57</f>
        <v>9984</v>
      </c>
      <c r="F10" s="61">
        <f t="shared" si="11"/>
        <v>5914</v>
      </c>
      <c r="G10" s="61">
        <f t="shared" si="12"/>
        <v>832</v>
      </c>
      <c r="H10" s="61">
        <f t="shared" si="11"/>
        <v>1886</v>
      </c>
      <c r="I10" s="61">
        <f t="shared" si="12"/>
        <v>2600</v>
      </c>
      <c r="J10" s="61">
        <f t="shared" si="11"/>
        <v>1347</v>
      </c>
      <c r="K10" s="61">
        <f t="shared" si="12"/>
        <v>1083</v>
      </c>
      <c r="L10" s="21">
        <f t="shared" si="4"/>
        <v>7392</v>
      </c>
      <c r="M10" s="21">
        <v>832</v>
      </c>
      <c r="N10" s="21">
        <v>1886</v>
      </c>
      <c r="O10" s="21">
        <v>1083</v>
      </c>
      <c r="P10" s="117">
        <v>1</v>
      </c>
      <c r="Q10" s="117">
        <f t="shared" si="3"/>
        <v>0.59699999999999998</v>
      </c>
      <c r="R10" s="117">
        <f t="shared" si="3"/>
        <v>0.40300000000000002</v>
      </c>
      <c r="S10" s="117">
        <f t="shared" si="5"/>
        <v>0.59699999999999998</v>
      </c>
      <c r="T10" s="117">
        <f t="shared" si="6"/>
        <v>3.4000000000000002E-2</v>
      </c>
      <c r="U10" s="117">
        <f t="shared" si="7"/>
        <v>0.59699999999999998</v>
      </c>
      <c r="V10" s="117">
        <f t="shared" si="8"/>
        <v>0.40300000000000002</v>
      </c>
      <c r="W10" s="117">
        <f t="shared" si="9"/>
        <v>0.59699999999999998</v>
      </c>
      <c r="X10" s="117">
        <f t="shared" si="10"/>
        <v>0.40300000000000002</v>
      </c>
      <c r="Y10" s="11">
        <v>0.29899999999999999</v>
      </c>
      <c r="Z10">
        <v>3.4000000000000002E-2</v>
      </c>
      <c r="AA10">
        <v>7.5999999999999998E-2</v>
      </c>
      <c r="AB10">
        <v>4.3999999999999997E-2</v>
      </c>
    </row>
    <row r="11" spans="1:28" x14ac:dyDescent="0.25">
      <c r="A11" s="14" t="s">
        <v>195</v>
      </c>
      <c r="B11" s="18" t="str">
        <f>'Strip Components cost'!A19</f>
        <v>Flex hybrids SMD in panel</v>
      </c>
      <c r="C11" s="61">
        <f>F57</f>
        <v>24768</v>
      </c>
      <c r="D11" s="61">
        <f>D57</f>
        <v>14784</v>
      </c>
      <c r="E11" s="61">
        <f t="shared" ref="E11:E13" si="13">$E$57</f>
        <v>9984</v>
      </c>
      <c r="F11" s="61">
        <f t="shared" si="11"/>
        <v>5914</v>
      </c>
      <c r="G11" s="61">
        <f t="shared" si="12"/>
        <v>832</v>
      </c>
      <c r="H11" s="61">
        <f t="shared" si="11"/>
        <v>1886</v>
      </c>
      <c r="I11" s="61">
        <f t="shared" si="12"/>
        <v>2600</v>
      </c>
      <c r="J11" s="61">
        <f t="shared" si="11"/>
        <v>1347</v>
      </c>
      <c r="K11" s="61">
        <f t="shared" si="12"/>
        <v>1083</v>
      </c>
      <c r="L11" s="21">
        <f t="shared" si="4"/>
        <v>7392</v>
      </c>
      <c r="M11" s="21">
        <v>832</v>
      </c>
      <c r="N11" s="21">
        <v>1886</v>
      </c>
      <c r="O11" s="21">
        <v>1083</v>
      </c>
      <c r="P11" s="117">
        <v>1</v>
      </c>
      <c r="Q11" s="117">
        <f t="shared" si="3"/>
        <v>0.59699999999999998</v>
      </c>
      <c r="R11" s="117">
        <f t="shared" si="3"/>
        <v>0.40300000000000002</v>
      </c>
      <c r="S11" s="117">
        <f t="shared" si="5"/>
        <v>0.59699999999999998</v>
      </c>
      <c r="T11" s="117">
        <f t="shared" si="6"/>
        <v>3.4000000000000002E-2</v>
      </c>
      <c r="U11" s="117">
        <f t="shared" si="7"/>
        <v>0.59699999999999998</v>
      </c>
      <c r="V11" s="117">
        <f t="shared" si="8"/>
        <v>0.40300000000000002</v>
      </c>
      <c r="W11" s="117">
        <f t="shared" si="9"/>
        <v>0.59699999999999998</v>
      </c>
      <c r="X11" s="117">
        <f t="shared" si="10"/>
        <v>0.40300000000000002</v>
      </c>
      <c r="Y11" s="11">
        <v>0.29899999999999999</v>
      </c>
      <c r="Z11">
        <v>3.4000000000000002E-2</v>
      </c>
      <c r="AA11">
        <v>7.5999999999999998E-2</v>
      </c>
      <c r="AB11">
        <v>4.3999999999999997E-2</v>
      </c>
    </row>
    <row r="12" spans="1:28" ht="26.4" x14ac:dyDescent="0.25">
      <c r="A12" s="14" t="s">
        <v>196</v>
      </c>
      <c r="B12" s="18" t="str">
        <f>'Strip Components cost'!A20</f>
        <v>ASIC attachment and wire bonding</v>
      </c>
      <c r="C12" s="61">
        <f>F57</f>
        <v>24768</v>
      </c>
      <c r="D12" s="61">
        <f>D57</f>
        <v>14784</v>
      </c>
      <c r="E12" s="61">
        <f t="shared" si="13"/>
        <v>9984</v>
      </c>
      <c r="F12" s="61">
        <f t="shared" si="11"/>
        <v>5914</v>
      </c>
      <c r="G12" s="61">
        <f t="shared" si="12"/>
        <v>832</v>
      </c>
      <c r="H12" s="61">
        <f t="shared" si="11"/>
        <v>1886</v>
      </c>
      <c r="I12" s="61">
        <f t="shared" si="12"/>
        <v>2600</v>
      </c>
      <c r="J12" s="61">
        <f t="shared" si="11"/>
        <v>1347</v>
      </c>
      <c r="K12" s="61">
        <f t="shared" si="12"/>
        <v>1083</v>
      </c>
      <c r="L12" s="21">
        <f t="shared" si="4"/>
        <v>7392</v>
      </c>
      <c r="M12" s="21">
        <v>832</v>
      </c>
      <c r="N12" s="21">
        <v>1886</v>
      </c>
      <c r="O12" s="21">
        <v>1083</v>
      </c>
      <c r="P12" s="117">
        <v>1</v>
      </c>
      <c r="Q12" s="117">
        <f t="shared" si="3"/>
        <v>0.59699999999999998</v>
      </c>
      <c r="R12" s="117">
        <f t="shared" si="3"/>
        <v>0.40300000000000002</v>
      </c>
      <c r="S12" s="117">
        <f t="shared" si="5"/>
        <v>0.59699999999999998</v>
      </c>
      <c r="T12" s="117">
        <f t="shared" si="6"/>
        <v>3.4000000000000002E-2</v>
      </c>
      <c r="U12" s="117">
        <f t="shared" si="7"/>
        <v>0.59699999999999998</v>
      </c>
      <c r="V12" s="117">
        <f t="shared" si="8"/>
        <v>0.40300000000000002</v>
      </c>
      <c r="W12" s="117">
        <f t="shared" si="9"/>
        <v>0.59699999999999998</v>
      </c>
      <c r="X12" s="117">
        <f t="shared" si="10"/>
        <v>0.40300000000000002</v>
      </c>
      <c r="Y12" s="11">
        <v>0.29899999999999999</v>
      </c>
      <c r="Z12">
        <v>3.4000000000000002E-2</v>
      </c>
      <c r="AA12">
        <v>7.5999999999999998E-2</v>
      </c>
      <c r="AB12">
        <v>4.3999999999999997E-2</v>
      </c>
    </row>
    <row r="13" spans="1:28" x14ac:dyDescent="0.25">
      <c r="A13" s="14" t="s">
        <v>197</v>
      </c>
      <c r="B13" s="18" t="str">
        <f>'Strip Components cost'!A21</f>
        <v>Bonding Wires (FE and BE)</v>
      </c>
      <c r="C13" s="61">
        <f>F57</f>
        <v>24768</v>
      </c>
      <c r="D13" s="61">
        <f>D57</f>
        <v>14784</v>
      </c>
      <c r="E13" s="61">
        <f t="shared" si="13"/>
        <v>9984</v>
      </c>
      <c r="F13" s="61">
        <f t="shared" si="11"/>
        <v>5914</v>
      </c>
      <c r="G13" s="61">
        <f t="shared" si="12"/>
        <v>832</v>
      </c>
      <c r="H13" s="61">
        <f t="shared" si="11"/>
        <v>1886</v>
      </c>
      <c r="I13" s="61">
        <f t="shared" si="12"/>
        <v>2600</v>
      </c>
      <c r="J13" s="61">
        <f t="shared" si="11"/>
        <v>1347</v>
      </c>
      <c r="K13" s="61">
        <f t="shared" si="12"/>
        <v>1083</v>
      </c>
      <c r="L13" s="21">
        <f t="shared" si="4"/>
        <v>7392</v>
      </c>
      <c r="M13" s="21">
        <v>832</v>
      </c>
      <c r="N13" s="21">
        <v>1886</v>
      </c>
      <c r="O13" s="21">
        <v>1083</v>
      </c>
      <c r="P13" s="117">
        <v>1</v>
      </c>
      <c r="Q13" s="117">
        <f t="shared" si="3"/>
        <v>0.59699999999999998</v>
      </c>
      <c r="R13" s="117">
        <f t="shared" si="3"/>
        <v>0.40300000000000002</v>
      </c>
      <c r="S13" s="117">
        <f t="shared" si="5"/>
        <v>0.59699999999999998</v>
      </c>
      <c r="T13" s="117">
        <f t="shared" si="6"/>
        <v>3.4000000000000002E-2</v>
      </c>
      <c r="U13" s="117">
        <f t="shared" si="7"/>
        <v>0.59699999999999998</v>
      </c>
      <c r="V13" s="117">
        <f t="shared" si="8"/>
        <v>0.40300000000000002</v>
      </c>
      <c r="W13" s="117">
        <f t="shared" si="9"/>
        <v>0.59699999999999998</v>
      </c>
      <c r="X13" s="117">
        <f t="shared" si="10"/>
        <v>0.40300000000000002</v>
      </c>
      <c r="Y13" s="11">
        <v>0.29899999999999999</v>
      </c>
      <c r="Z13">
        <v>3.4000000000000002E-2</v>
      </c>
      <c r="AA13">
        <v>7.5999999999999998E-2</v>
      </c>
      <c r="AB13">
        <v>4.3999999999999997E-2</v>
      </c>
    </row>
    <row r="14" spans="1:28" x14ac:dyDescent="0.25">
      <c r="A14" s="14" t="s">
        <v>198</v>
      </c>
      <c r="B14" s="18" t="str">
        <f>'Strip Components cost'!A24</f>
        <v>Bus cables</v>
      </c>
      <c r="C14" s="61">
        <f>2*(B47+C47+D47)</f>
        <v>1552</v>
      </c>
      <c r="D14" s="61">
        <f>($B$47+$C$47)*2</f>
        <v>784</v>
      </c>
      <c r="E14" s="61">
        <f>$D$47*2</f>
        <v>768</v>
      </c>
      <c r="F14" s="61">
        <f t="shared" si="11"/>
        <v>314</v>
      </c>
      <c r="G14" s="61">
        <f t="shared" si="12"/>
        <v>64</v>
      </c>
      <c r="H14" s="61">
        <f t="shared" si="11"/>
        <v>100</v>
      </c>
      <c r="I14" s="61">
        <f t="shared" si="12"/>
        <v>200</v>
      </c>
      <c r="J14" s="61">
        <v>0</v>
      </c>
      <c r="K14" s="61">
        <v>0</v>
      </c>
      <c r="L14" s="21">
        <f t="shared" si="4"/>
        <v>392</v>
      </c>
      <c r="M14" s="21">
        <v>64</v>
      </c>
      <c r="N14" s="21">
        <v>100</v>
      </c>
      <c r="O14" s="21">
        <v>0</v>
      </c>
      <c r="P14" s="117">
        <v>1</v>
      </c>
      <c r="Q14" s="117">
        <f t="shared" si="3"/>
        <v>0.505</v>
      </c>
      <c r="R14" s="117">
        <f t="shared" si="3"/>
        <v>0.495</v>
      </c>
      <c r="S14" s="117">
        <f t="shared" si="5"/>
        <v>0.505</v>
      </c>
      <c r="T14" s="117">
        <f t="shared" si="6"/>
        <v>4.1000000000000002E-2</v>
      </c>
      <c r="U14" s="117">
        <f t="shared" si="7"/>
        <v>0.505</v>
      </c>
      <c r="V14" s="117">
        <f t="shared" si="8"/>
        <v>0.495</v>
      </c>
      <c r="W14" s="117">
        <v>0</v>
      </c>
      <c r="X14" s="117">
        <v>0</v>
      </c>
      <c r="Y14" s="11">
        <v>0.253</v>
      </c>
      <c r="Z14">
        <v>4.1000000000000002E-2</v>
      </c>
      <c r="AA14">
        <v>6.4000000000000001E-2</v>
      </c>
      <c r="AB14">
        <v>0</v>
      </c>
    </row>
    <row r="15" spans="1:28" x14ac:dyDescent="0.25">
      <c r="A15" s="14" t="s">
        <v>207</v>
      </c>
      <c r="B15" s="18" t="str">
        <f>'Strip Components cost'!A38</f>
        <v>2 CF Facings- Stave</v>
      </c>
      <c r="C15" s="61">
        <f>B47+C47</f>
        <v>392</v>
      </c>
      <c r="D15" s="61">
        <f>$B$47+$C$47</f>
        <v>392</v>
      </c>
      <c r="E15" s="61">
        <v>0</v>
      </c>
      <c r="F15" s="61">
        <f t="shared" si="11"/>
        <v>157</v>
      </c>
      <c r="G15" s="61">
        <f t="shared" si="12"/>
        <v>0</v>
      </c>
      <c r="H15" s="61">
        <f t="shared" si="11"/>
        <v>50</v>
      </c>
      <c r="I15" s="61">
        <f t="shared" si="12"/>
        <v>0</v>
      </c>
      <c r="J15" s="61">
        <v>0</v>
      </c>
      <c r="K15" s="61">
        <f t="shared" si="12"/>
        <v>0</v>
      </c>
      <c r="L15" s="21">
        <f t="shared" si="4"/>
        <v>196</v>
      </c>
      <c r="M15" s="21">
        <v>0</v>
      </c>
      <c r="N15" s="21">
        <v>50</v>
      </c>
      <c r="O15" s="21">
        <v>0</v>
      </c>
      <c r="P15" s="117">
        <v>1</v>
      </c>
      <c r="Q15" s="117">
        <f t="shared" si="3"/>
        <v>1</v>
      </c>
      <c r="R15" s="117">
        <f t="shared" si="3"/>
        <v>0</v>
      </c>
      <c r="S15" s="117">
        <f t="shared" si="5"/>
        <v>1</v>
      </c>
      <c r="T15" s="117">
        <f t="shared" si="6"/>
        <v>0</v>
      </c>
      <c r="U15" s="117">
        <f t="shared" si="7"/>
        <v>1</v>
      </c>
      <c r="V15" s="117">
        <f t="shared" si="8"/>
        <v>0</v>
      </c>
      <c r="W15" s="117">
        <v>0</v>
      </c>
      <c r="X15" s="117">
        <f t="shared" si="10"/>
        <v>0</v>
      </c>
      <c r="Y15" s="11">
        <v>0.5</v>
      </c>
      <c r="Z15">
        <v>0</v>
      </c>
      <c r="AA15">
        <v>0.128</v>
      </c>
      <c r="AB15">
        <v>0</v>
      </c>
    </row>
    <row r="16" spans="1:28" x14ac:dyDescent="0.25">
      <c r="A16" s="14" t="s">
        <v>208</v>
      </c>
      <c r="B16" s="18" t="str">
        <f>'Strip Components cost'!A39</f>
        <v>CF Honeycomb-Stave</v>
      </c>
      <c r="C16" s="61">
        <f>B47+C47</f>
        <v>392</v>
      </c>
      <c r="D16" s="61">
        <f t="shared" ref="D16:D20" si="14">$B$47+$C$47</f>
        <v>392</v>
      </c>
      <c r="E16" s="61">
        <v>0</v>
      </c>
      <c r="F16" s="61">
        <f t="shared" si="11"/>
        <v>157</v>
      </c>
      <c r="G16" s="61">
        <f t="shared" si="12"/>
        <v>0</v>
      </c>
      <c r="H16" s="61">
        <f t="shared" si="11"/>
        <v>50</v>
      </c>
      <c r="I16" s="61">
        <f t="shared" si="12"/>
        <v>0</v>
      </c>
      <c r="J16" s="61">
        <v>0</v>
      </c>
      <c r="K16" s="61">
        <f t="shared" si="12"/>
        <v>0</v>
      </c>
      <c r="L16" s="21">
        <f t="shared" si="4"/>
        <v>196</v>
      </c>
      <c r="M16" s="21">
        <v>0</v>
      </c>
      <c r="N16" s="21">
        <v>50</v>
      </c>
      <c r="O16" s="21">
        <v>0</v>
      </c>
      <c r="P16" s="117">
        <v>1</v>
      </c>
      <c r="Q16" s="117">
        <f t="shared" si="3"/>
        <v>1</v>
      </c>
      <c r="R16" s="117">
        <f t="shared" si="3"/>
        <v>0</v>
      </c>
      <c r="S16" s="117">
        <f t="shared" si="5"/>
        <v>1</v>
      </c>
      <c r="T16" s="117">
        <f t="shared" si="6"/>
        <v>0</v>
      </c>
      <c r="U16" s="117">
        <f t="shared" si="7"/>
        <v>1</v>
      </c>
      <c r="V16" s="117">
        <f t="shared" si="8"/>
        <v>0</v>
      </c>
      <c r="W16" s="117">
        <v>0</v>
      </c>
      <c r="X16" s="117">
        <f t="shared" si="10"/>
        <v>0</v>
      </c>
      <c r="Y16" s="11">
        <v>0.5</v>
      </c>
      <c r="Z16">
        <v>0</v>
      </c>
      <c r="AA16">
        <v>0.128</v>
      </c>
      <c r="AB16">
        <v>0</v>
      </c>
    </row>
    <row r="17" spans="1:28" x14ac:dyDescent="0.25">
      <c r="A17" s="14" t="s">
        <v>209</v>
      </c>
      <c r="B17" s="18" t="str">
        <f>'Strip Components cost'!A40</f>
        <v>Ti Pipe Assemblies-Stave</v>
      </c>
      <c r="C17" s="61">
        <f>B47+C47</f>
        <v>392</v>
      </c>
      <c r="D17" s="61">
        <f t="shared" si="14"/>
        <v>392</v>
      </c>
      <c r="E17" s="61">
        <v>0</v>
      </c>
      <c r="F17" s="61">
        <f t="shared" si="11"/>
        <v>157</v>
      </c>
      <c r="G17" s="61">
        <f t="shared" si="12"/>
        <v>0</v>
      </c>
      <c r="H17" s="61">
        <f t="shared" si="11"/>
        <v>50</v>
      </c>
      <c r="I17" s="61">
        <f t="shared" si="12"/>
        <v>0</v>
      </c>
      <c r="J17" s="61">
        <v>0</v>
      </c>
      <c r="K17" s="61">
        <f t="shared" si="12"/>
        <v>0</v>
      </c>
      <c r="L17" s="21">
        <f t="shared" si="4"/>
        <v>196</v>
      </c>
      <c r="M17" s="21">
        <v>0</v>
      </c>
      <c r="N17" s="21">
        <v>50</v>
      </c>
      <c r="O17" s="21">
        <v>0</v>
      </c>
      <c r="P17" s="117">
        <v>1</v>
      </c>
      <c r="Q17" s="117">
        <f t="shared" si="3"/>
        <v>1</v>
      </c>
      <c r="R17" s="117">
        <f t="shared" si="3"/>
        <v>0</v>
      </c>
      <c r="S17" s="117">
        <f t="shared" si="5"/>
        <v>1</v>
      </c>
      <c r="T17" s="117">
        <f t="shared" si="6"/>
        <v>0</v>
      </c>
      <c r="U17" s="117">
        <f t="shared" si="7"/>
        <v>1</v>
      </c>
      <c r="V17" s="117">
        <f t="shared" si="8"/>
        <v>0</v>
      </c>
      <c r="W17" s="117">
        <v>0</v>
      </c>
      <c r="X17" s="117">
        <f t="shared" si="10"/>
        <v>0</v>
      </c>
      <c r="Y17" s="11">
        <v>0.5</v>
      </c>
      <c r="Z17">
        <v>0</v>
      </c>
      <c r="AA17">
        <v>0.128</v>
      </c>
      <c r="AB17">
        <v>0</v>
      </c>
    </row>
    <row r="18" spans="1:28" x14ac:dyDescent="0.25">
      <c r="A18" s="14" t="s">
        <v>210</v>
      </c>
      <c r="B18" s="18" t="str">
        <f>'Strip Components cost'!A41</f>
        <v>C-chanels and closeouts-Stave</v>
      </c>
      <c r="C18" s="61">
        <f>B47+C47</f>
        <v>392</v>
      </c>
      <c r="D18" s="61">
        <f t="shared" si="14"/>
        <v>392</v>
      </c>
      <c r="E18" s="61">
        <v>0</v>
      </c>
      <c r="F18" s="61">
        <f t="shared" si="11"/>
        <v>157</v>
      </c>
      <c r="G18" s="61">
        <f t="shared" si="12"/>
        <v>0</v>
      </c>
      <c r="H18" s="61">
        <f t="shared" si="11"/>
        <v>50</v>
      </c>
      <c r="I18" s="61">
        <f t="shared" si="12"/>
        <v>0</v>
      </c>
      <c r="J18" s="61">
        <v>0</v>
      </c>
      <c r="K18" s="61">
        <f t="shared" si="12"/>
        <v>0</v>
      </c>
      <c r="L18" s="21">
        <f t="shared" si="4"/>
        <v>196</v>
      </c>
      <c r="M18" s="21">
        <v>0</v>
      </c>
      <c r="N18" s="21">
        <v>50</v>
      </c>
      <c r="O18" s="21">
        <v>0</v>
      </c>
      <c r="P18" s="117">
        <v>1</v>
      </c>
      <c r="Q18" s="117">
        <f t="shared" si="3"/>
        <v>1</v>
      </c>
      <c r="R18" s="117">
        <f t="shared" si="3"/>
        <v>0</v>
      </c>
      <c r="S18" s="117">
        <f t="shared" si="5"/>
        <v>1</v>
      </c>
      <c r="T18" s="117">
        <f t="shared" si="6"/>
        <v>0</v>
      </c>
      <c r="U18" s="117">
        <f t="shared" si="7"/>
        <v>1</v>
      </c>
      <c r="V18" s="117">
        <f t="shared" si="8"/>
        <v>0</v>
      </c>
      <c r="W18" s="117">
        <v>0</v>
      </c>
      <c r="X18" s="117">
        <f t="shared" si="10"/>
        <v>0</v>
      </c>
      <c r="Y18" s="11">
        <v>0.5</v>
      </c>
      <c r="Z18">
        <v>0</v>
      </c>
      <c r="AA18">
        <v>0.128</v>
      </c>
      <c r="AB18">
        <v>0</v>
      </c>
    </row>
    <row r="19" spans="1:28" x14ac:dyDescent="0.25">
      <c r="A19" s="14" t="s">
        <v>211</v>
      </c>
      <c r="B19" s="18" t="str">
        <f>'Strip Components cost'!A42</f>
        <v>PocoFoam-Stave</v>
      </c>
      <c r="C19" s="61">
        <f>B47+C47</f>
        <v>392</v>
      </c>
      <c r="D19" s="61">
        <f t="shared" si="14"/>
        <v>392</v>
      </c>
      <c r="E19" s="61">
        <v>0</v>
      </c>
      <c r="F19" s="61">
        <f t="shared" si="11"/>
        <v>157</v>
      </c>
      <c r="G19" s="61">
        <f t="shared" si="12"/>
        <v>0</v>
      </c>
      <c r="H19" s="61">
        <f t="shared" si="11"/>
        <v>50</v>
      </c>
      <c r="I19" s="61">
        <f t="shared" si="12"/>
        <v>0</v>
      </c>
      <c r="J19" s="61">
        <v>0</v>
      </c>
      <c r="K19" s="61">
        <f t="shared" si="12"/>
        <v>0</v>
      </c>
      <c r="L19" s="21">
        <f t="shared" si="4"/>
        <v>196</v>
      </c>
      <c r="M19" s="21">
        <v>0</v>
      </c>
      <c r="N19" s="21">
        <v>50</v>
      </c>
      <c r="O19" s="21">
        <v>0</v>
      </c>
      <c r="P19" s="117">
        <v>1</v>
      </c>
      <c r="Q19" s="117">
        <f t="shared" si="3"/>
        <v>1</v>
      </c>
      <c r="R19" s="117">
        <f t="shared" si="3"/>
        <v>0</v>
      </c>
      <c r="S19" s="117">
        <f t="shared" si="5"/>
        <v>1</v>
      </c>
      <c r="T19" s="117">
        <f t="shared" si="6"/>
        <v>0</v>
      </c>
      <c r="U19" s="117">
        <f t="shared" si="7"/>
        <v>1</v>
      </c>
      <c r="V19" s="117">
        <f t="shared" si="8"/>
        <v>0</v>
      </c>
      <c r="W19" s="117">
        <v>0</v>
      </c>
      <c r="X19" s="117">
        <f t="shared" si="10"/>
        <v>0</v>
      </c>
      <c r="Y19" s="11">
        <v>0.5</v>
      </c>
      <c r="Z19">
        <v>0</v>
      </c>
      <c r="AA19">
        <v>0.128</v>
      </c>
      <c r="AB19">
        <v>0</v>
      </c>
    </row>
    <row r="20" spans="1:28" x14ac:dyDescent="0.25">
      <c r="A20" s="14" t="s">
        <v>212</v>
      </c>
      <c r="B20" s="18" t="str">
        <f>'Strip Components cost'!A44</f>
        <v>Stave Core Assembly in Industry</v>
      </c>
      <c r="C20" s="61">
        <f>B47+C47</f>
        <v>392</v>
      </c>
      <c r="D20" s="61">
        <f t="shared" si="14"/>
        <v>392</v>
      </c>
      <c r="E20" s="61">
        <v>0</v>
      </c>
      <c r="F20" s="61">
        <f t="shared" si="11"/>
        <v>157</v>
      </c>
      <c r="G20" s="61">
        <f t="shared" si="12"/>
        <v>0</v>
      </c>
      <c r="H20" s="61">
        <f t="shared" si="11"/>
        <v>50</v>
      </c>
      <c r="I20" s="61">
        <f t="shared" si="12"/>
        <v>0</v>
      </c>
      <c r="J20" s="61">
        <v>0</v>
      </c>
      <c r="K20" s="61">
        <f t="shared" si="12"/>
        <v>0</v>
      </c>
      <c r="L20" s="21">
        <f t="shared" si="4"/>
        <v>196</v>
      </c>
      <c r="M20" s="21">
        <v>0</v>
      </c>
      <c r="N20" s="21">
        <v>50</v>
      </c>
      <c r="O20" s="21">
        <v>0</v>
      </c>
      <c r="P20" s="117">
        <v>1</v>
      </c>
      <c r="Q20" s="117">
        <f t="shared" si="3"/>
        <v>1</v>
      </c>
      <c r="R20" s="117">
        <f t="shared" si="3"/>
        <v>0</v>
      </c>
      <c r="S20" s="117">
        <f t="shared" si="5"/>
        <v>1</v>
      </c>
      <c r="T20" s="117">
        <f t="shared" si="6"/>
        <v>0</v>
      </c>
      <c r="U20" s="117">
        <f t="shared" si="7"/>
        <v>1</v>
      </c>
      <c r="V20" s="117">
        <f t="shared" si="8"/>
        <v>0</v>
      </c>
      <c r="W20" s="117">
        <v>0</v>
      </c>
      <c r="X20" s="117">
        <f t="shared" si="10"/>
        <v>0</v>
      </c>
      <c r="Y20" s="11">
        <v>0.5</v>
      </c>
      <c r="Z20">
        <v>0</v>
      </c>
      <c r="AA20">
        <v>0.128</v>
      </c>
      <c r="AB20">
        <v>0</v>
      </c>
    </row>
    <row r="21" spans="1:28" x14ac:dyDescent="0.25">
      <c r="A21" s="14" t="s">
        <v>213</v>
      </c>
      <c r="B21" s="18" t="str">
        <f>'Strip Components cost'!A46</f>
        <v>2 CF Facings- Petal</v>
      </c>
      <c r="C21" s="61">
        <f>D47</f>
        <v>384</v>
      </c>
      <c r="D21" s="61">
        <v>0</v>
      </c>
      <c r="E21" s="61">
        <f>$D$47</f>
        <v>384</v>
      </c>
      <c r="F21" s="61">
        <f t="shared" si="11"/>
        <v>0</v>
      </c>
      <c r="G21" s="61">
        <f t="shared" si="12"/>
        <v>32</v>
      </c>
      <c r="H21" s="61">
        <f t="shared" si="11"/>
        <v>0</v>
      </c>
      <c r="I21" s="61">
        <f t="shared" si="12"/>
        <v>100</v>
      </c>
      <c r="J21" s="61">
        <f t="shared" si="11"/>
        <v>0</v>
      </c>
      <c r="K21" s="61">
        <v>0</v>
      </c>
      <c r="L21" s="21">
        <f t="shared" si="4"/>
        <v>0</v>
      </c>
      <c r="M21" s="21">
        <v>32</v>
      </c>
      <c r="N21" s="21">
        <v>0</v>
      </c>
      <c r="O21" s="21">
        <v>0</v>
      </c>
      <c r="P21" s="117">
        <v>1</v>
      </c>
      <c r="Q21" s="117">
        <f t="shared" si="3"/>
        <v>0</v>
      </c>
      <c r="R21" s="117">
        <f t="shared" si="3"/>
        <v>1</v>
      </c>
      <c r="S21" s="117">
        <f t="shared" si="5"/>
        <v>0</v>
      </c>
      <c r="T21" s="117">
        <f t="shared" si="6"/>
        <v>8.3000000000000004E-2</v>
      </c>
      <c r="U21" s="117">
        <f t="shared" si="7"/>
        <v>0</v>
      </c>
      <c r="V21" s="117">
        <f t="shared" si="8"/>
        <v>1</v>
      </c>
      <c r="W21" s="117">
        <f t="shared" si="9"/>
        <v>0</v>
      </c>
      <c r="X21" s="117">
        <v>0</v>
      </c>
      <c r="Y21" s="11">
        <v>0</v>
      </c>
      <c r="Z21">
        <v>8.3000000000000004E-2</v>
      </c>
      <c r="AA21">
        <v>0</v>
      </c>
      <c r="AB21">
        <v>0</v>
      </c>
    </row>
    <row r="22" spans="1:28" x14ac:dyDescent="0.25">
      <c r="A22" s="14" t="s">
        <v>214</v>
      </c>
      <c r="B22" s="18" t="str">
        <f>'Strip Components cost'!A47</f>
        <v>CF Honeycomb-Petal</v>
      </c>
      <c r="C22" s="61">
        <f>D47</f>
        <v>384</v>
      </c>
      <c r="D22" s="61">
        <v>0</v>
      </c>
      <c r="E22" s="61">
        <f t="shared" ref="E22:E26" si="15">$D$47</f>
        <v>384</v>
      </c>
      <c r="F22" s="61">
        <f t="shared" si="11"/>
        <v>0</v>
      </c>
      <c r="G22" s="61">
        <f t="shared" si="12"/>
        <v>32</v>
      </c>
      <c r="H22" s="61">
        <f t="shared" si="11"/>
        <v>0</v>
      </c>
      <c r="I22" s="61">
        <f t="shared" si="12"/>
        <v>100</v>
      </c>
      <c r="J22" s="61">
        <f t="shared" si="11"/>
        <v>0</v>
      </c>
      <c r="K22" s="61">
        <v>0</v>
      </c>
      <c r="L22" s="21">
        <f t="shared" si="4"/>
        <v>0</v>
      </c>
      <c r="M22" s="21">
        <v>32</v>
      </c>
      <c r="N22" s="21">
        <v>0</v>
      </c>
      <c r="O22" s="21">
        <v>0</v>
      </c>
      <c r="P22" s="117">
        <v>1</v>
      </c>
      <c r="Q22" s="117">
        <f t="shared" si="3"/>
        <v>0</v>
      </c>
      <c r="R22" s="117">
        <f t="shared" si="3"/>
        <v>1</v>
      </c>
      <c r="S22" s="117">
        <f t="shared" si="5"/>
        <v>0</v>
      </c>
      <c r="T22" s="117">
        <f t="shared" si="6"/>
        <v>8.3000000000000004E-2</v>
      </c>
      <c r="U22" s="117">
        <f t="shared" si="7"/>
        <v>0</v>
      </c>
      <c r="V22" s="117">
        <f t="shared" si="8"/>
        <v>1</v>
      </c>
      <c r="W22" s="117">
        <f t="shared" si="9"/>
        <v>0</v>
      </c>
      <c r="X22" s="117">
        <v>0</v>
      </c>
      <c r="Y22" s="11">
        <v>0</v>
      </c>
      <c r="Z22">
        <v>8.3000000000000004E-2</v>
      </c>
      <c r="AA22">
        <v>0</v>
      </c>
      <c r="AB22">
        <v>0</v>
      </c>
    </row>
    <row r="23" spans="1:28" x14ac:dyDescent="0.25">
      <c r="A23" s="14" t="s">
        <v>215</v>
      </c>
      <c r="B23" s="18" t="str">
        <f>'Strip Components cost'!A48</f>
        <v>Ti Pipe Assemblies-Petal</v>
      </c>
      <c r="C23" s="61">
        <f>D47</f>
        <v>384</v>
      </c>
      <c r="D23" s="61">
        <v>0</v>
      </c>
      <c r="E23" s="61">
        <f t="shared" si="15"/>
        <v>384</v>
      </c>
      <c r="F23" s="61">
        <f t="shared" si="11"/>
        <v>0</v>
      </c>
      <c r="G23" s="61">
        <f t="shared" si="12"/>
        <v>32</v>
      </c>
      <c r="H23" s="61">
        <f t="shared" si="11"/>
        <v>0</v>
      </c>
      <c r="I23" s="61">
        <f t="shared" si="12"/>
        <v>100</v>
      </c>
      <c r="J23" s="61">
        <f t="shared" si="11"/>
        <v>0</v>
      </c>
      <c r="K23" s="61">
        <v>0</v>
      </c>
      <c r="L23" s="21">
        <f t="shared" si="4"/>
        <v>0</v>
      </c>
      <c r="M23" s="21">
        <v>32</v>
      </c>
      <c r="N23" s="21">
        <v>0</v>
      </c>
      <c r="O23" s="21">
        <v>0</v>
      </c>
      <c r="P23" s="117">
        <v>1</v>
      </c>
      <c r="Q23" s="117">
        <f t="shared" si="3"/>
        <v>0</v>
      </c>
      <c r="R23" s="117">
        <f t="shared" si="3"/>
        <v>1</v>
      </c>
      <c r="S23" s="117">
        <f t="shared" si="5"/>
        <v>0</v>
      </c>
      <c r="T23" s="117">
        <f t="shared" si="6"/>
        <v>8.3000000000000004E-2</v>
      </c>
      <c r="U23" s="117">
        <f t="shared" si="7"/>
        <v>0</v>
      </c>
      <c r="V23" s="117">
        <f t="shared" si="8"/>
        <v>1</v>
      </c>
      <c r="W23" s="117">
        <f t="shared" si="9"/>
        <v>0</v>
      </c>
      <c r="X23" s="117">
        <v>0</v>
      </c>
      <c r="Y23" s="11">
        <v>0</v>
      </c>
      <c r="Z23">
        <v>8.3000000000000004E-2</v>
      </c>
      <c r="AA23">
        <v>0</v>
      </c>
      <c r="AB23">
        <v>0</v>
      </c>
    </row>
    <row r="24" spans="1:28" x14ac:dyDescent="0.25">
      <c r="A24" s="14" t="s">
        <v>216</v>
      </c>
      <c r="B24" s="18" t="str">
        <f>'Strip Components cost'!A49</f>
        <v>C-chanels and closeouts-Petal</v>
      </c>
      <c r="C24" s="61">
        <f>D47</f>
        <v>384</v>
      </c>
      <c r="D24" s="61">
        <v>0</v>
      </c>
      <c r="E24" s="61">
        <f t="shared" si="15"/>
        <v>384</v>
      </c>
      <c r="F24" s="61">
        <f t="shared" si="11"/>
        <v>0</v>
      </c>
      <c r="G24" s="61">
        <f t="shared" si="12"/>
        <v>32</v>
      </c>
      <c r="H24" s="61">
        <f t="shared" si="11"/>
        <v>0</v>
      </c>
      <c r="I24" s="61">
        <f t="shared" si="12"/>
        <v>100</v>
      </c>
      <c r="J24" s="61">
        <f t="shared" si="11"/>
        <v>0</v>
      </c>
      <c r="K24" s="61">
        <v>0</v>
      </c>
      <c r="L24" s="21">
        <f t="shared" si="4"/>
        <v>0</v>
      </c>
      <c r="M24" s="21">
        <v>32</v>
      </c>
      <c r="N24" s="21">
        <v>0</v>
      </c>
      <c r="O24" s="21">
        <v>0</v>
      </c>
      <c r="P24" s="117">
        <v>1</v>
      </c>
      <c r="Q24" s="117">
        <f t="shared" si="3"/>
        <v>0</v>
      </c>
      <c r="R24" s="117">
        <f t="shared" si="3"/>
        <v>1</v>
      </c>
      <c r="S24" s="117">
        <f t="shared" si="5"/>
        <v>0</v>
      </c>
      <c r="T24" s="117">
        <f t="shared" si="6"/>
        <v>8.3000000000000004E-2</v>
      </c>
      <c r="U24" s="117">
        <f t="shared" si="7"/>
        <v>0</v>
      </c>
      <c r="V24" s="117">
        <f t="shared" si="8"/>
        <v>1</v>
      </c>
      <c r="W24" s="117">
        <f t="shared" si="9"/>
        <v>0</v>
      </c>
      <c r="X24" s="117">
        <v>0</v>
      </c>
      <c r="Y24" s="11">
        <v>0</v>
      </c>
      <c r="Z24">
        <v>8.3000000000000004E-2</v>
      </c>
      <c r="AA24">
        <v>0</v>
      </c>
      <c r="AB24">
        <v>0</v>
      </c>
    </row>
    <row r="25" spans="1:28" x14ac:dyDescent="0.25">
      <c r="A25" s="14" t="s">
        <v>217</v>
      </c>
      <c r="B25" s="18" t="str">
        <f>'Strip Components cost'!A50</f>
        <v>PocoFoam-Petal</v>
      </c>
      <c r="C25" s="61">
        <f>D47</f>
        <v>384</v>
      </c>
      <c r="D25" s="61">
        <v>0</v>
      </c>
      <c r="E25" s="61">
        <f t="shared" si="15"/>
        <v>384</v>
      </c>
      <c r="F25" s="61">
        <f t="shared" si="11"/>
        <v>0</v>
      </c>
      <c r="G25" s="61">
        <f t="shared" si="12"/>
        <v>32</v>
      </c>
      <c r="H25" s="61">
        <f t="shared" si="11"/>
        <v>0</v>
      </c>
      <c r="I25" s="61">
        <f t="shared" si="12"/>
        <v>100</v>
      </c>
      <c r="J25" s="61">
        <f t="shared" si="11"/>
        <v>0</v>
      </c>
      <c r="K25" s="61">
        <v>0</v>
      </c>
      <c r="L25" s="21">
        <f t="shared" si="4"/>
        <v>0</v>
      </c>
      <c r="M25" s="21">
        <v>32</v>
      </c>
      <c r="N25" s="21">
        <v>0</v>
      </c>
      <c r="O25" s="21">
        <v>0</v>
      </c>
      <c r="P25" s="117">
        <v>1</v>
      </c>
      <c r="Q25" s="117">
        <f t="shared" si="3"/>
        <v>0</v>
      </c>
      <c r="R25" s="117">
        <f t="shared" si="3"/>
        <v>1</v>
      </c>
      <c r="S25" s="117">
        <f t="shared" si="5"/>
        <v>0</v>
      </c>
      <c r="T25" s="117">
        <f t="shared" si="6"/>
        <v>8.3000000000000004E-2</v>
      </c>
      <c r="U25" s="117">
        <f t="shared" si="7"/>
        <v>0</v>
      </c>
      <c r="V25" s="117">
        <f t="shared" si="8"/>
        <v>1</v>
      </c>
      <c r="W25" s="117">
        <f t="shared" si="9"/>
        <v>0</v>
      </c>
      <c r="X25" s="117">
        <v>0</v>
      </c>
      <c r="Y25" s="11">
        <v>0</v>
      </c>
      <c r="Z25">
        <v>8.3000000000000004E-2</v>
      </c>
      <c r="AA25">
        <v>0</v>
      </c>
      <c r="AB25">
        <v>0</v>
      </c>
    </row>
    <row r="26" spans="1:28" x14ac:dyDescent="0.25">
      <c r="A26" s="14" t="s">
        <v>218</v>
      </c>
      <c r="B26" s="18" t="str">
        <f>'Strip Components cost'!A52</f>
        <v>Petal Core Assembly in Industry</v>
      </c>
      <c r="C26" s="61">
        <f>D47</f>
        <v>384</v>
      </c>
      <c r="D26" s="61">
        <v>0</v>
      </c>
      <c r="E26" s="61">
        <f t="shared" si="15"/>
        <v>384</v>
      </c>
      <c r="F26" s="61">
        <f t="shared" si="11"/>
        <v>0</v>
      </c>
      <c r="G26" s="61">
        <f t="shared" si="12"/>
        <v>32</v>
      </c>
      <c r="H26" s="61">
        <f t="shared" si="11"/>
        <v>0</v>
      </c>
      <c r="I26" s="61">
        <f t="shared" si="12"/>
        <v>100</v>
      </c>
      <c r="J26" s="61">
        <f t="shared" si="11"/>
        <v>0</v>
      </c>
      <c r="K26" s="61">
        <v>0</v>
      </c>
      <c r="L26" s="21">
        <f t="shared" si="4"/>
        <v>0</v>
      </c>
      <c r="M26" s="21">
        <v>32</v>
      </c>
      <c r="N26" s="21">
        <v>0</v>
      </c>
      <c r="O26" s="21">
        <v>0</v>
      </c>
      <c r="P26" s="117">
        <v>1</v>
      </c>
      <c r="Q26" s="117">
        <f t="shared" si="3"/>
        <v>0</v>
      </c>
      <c r="R26" s="117">
        <f t="shared" si="3"/>
        <v>1</v>
      </c>
      <c r="S26" s="117">
        <f t="shared" si="5"/>
        <v>0</v>
      </c>
      <c r="T26" s="117">
        <f t="shared" si="6"/>
        <v>8.3000000000000004E-2</v>
      </c>
      <c r="U26" s="117">
        <f t="shared" si="7"/>
        <v>0</v>
      </c>
      <c r="V26" s="117">
        <f t="shared" si="8"/>
        <v>1</v>
      </c>
      <c r="W26" s="117">
        <f t="shared" si="9"/>
        <v>0</v>
      </c>
      <c r="X26" s="117">
        <v>0</v>
      </c>
      <c r="Y26" s="11">
        <v>0</v>
      </c>
      <c r="Z26">
        <v>8.3000000000000004E-2</v>
      </c>
      <c r="AA26">
        <v>0</v>
      </c>
      <c r="AB26">
        <v>0</v>
      </c>
    </row>
    <row r="27" spans="1:28" x14ac:dyDescent="0.25">
      <c r="A27" s="14" t="s">
        <v>199</v>
      </c>
      <c r="B27" s="18" t="str">
        <f>'Strip Components cost'!A25</f>
        <v>PCB for bus termination</v>
      </c>
      <c r="C27" s="61">
        <f>2*(B47+C47+D47)</f>
        <v>1552</v>
      </c>
      <c r="D27" s="61">
        <f>($B$47+$C$47)*2</f>
        <v>784</v>
      </c>
      <c r="E27" s="61">
        <f>$D$47*2</f>
        <v>768</v>
      </c>
      <c r="F27" s="61">
        <f t="shared" si="11"/>
        <v>314</v>
      </c>
      <c r="G27" s="61">
        <f t="shared" si="12"/>
        <v>64</v>
      </c>
      <c r="H27" s="61">
        <f t="shared" si="11"/>
        <v>100</v>
      </c>
      <c r="I27" s="61">
        <f t="shared" si="12"/>
        <v>200</v>
      </c>
      <c r="J27" s="61">
        <v>0</v>
      </c>
      <c r="K27" s="61">
        <v>0</v>
      </c>
      <c r="L27" s="21">
        <f t="shared" si="4"/>
        <v>392</v>
      </c>
      <c r="M27" s="21">
        <v>64</v>
      </c>
      <c r="N27" s="21">
        <v>100</v>
      </c>
      <c r="O27" s="21">
        <v>0</v>
      </c>
      <c r="P27" s="117">
        <v>1</v>
      </c>
      <c r="Q27" s="117">
        <f t="shared" si="3"/>
        <v>0.505</v>
      </c>
      <c r="R27" s="117">
        <f t="shared" si="3"/>
        <v>0.495</v>
      </c>
      <c r="S27" s="117">
        <f t="shared" si="5"/>
        <v>0.505</v>
      </c>
      <c r="T27" s="117">
        <f t="shared" si="6"/>
        <v>4.1000000000000002E-2</v>
      </c>
      <c r="U27" s="117">
        <f t="shared" si="7"/>
        <v>0.505</v>
      </c>
      <c r="V27" s="117">
        <f t="shared" si="8"/>
        <v>0.495</v>
      </c>
      <c r="W27" s="117">
        <v>0</v>
      </c>
      <c r="X27" s="117">
        <v>0</v>
      </c>
      <c r="Y27" s="11">
        <v>0.253</v>
      </c>
      <c r="Z27">
        <v>4.1000000000000002E-2</v>
      </c>
      <c r="AA27">
        <v>6.4000000000000001E-2</v>
      </c>
      <c r="AB27">
        <v>0</v>
      </c>
    </row>
    <row r="28" spans="1:28" x14ac:dyDescent="0.25">
      <c r="A28" s="14" t="s">
        <v>200</v>
      </c>
      <c r="B28" s="18" t="str">
        <f>'Strip Components cost'!A29</f>
        <v>Power board stuffed</v>
      </c>
      <c r="C28" s="61">
        <f>F61</f>
        <v>16352</v>
      </c>
      <c r="D28" s="61">
        <f>D61</f>
        <v>10976</v>
      </c>
      <c r="E28" s="61">
        <f>E61</f>
        <v>5376</v>
      </c>
      <c r="F28" s="61">
        <f t="shared" si="11"/>
        <v>4390</v>
      </c>
      <c r="G28" s="61">
        <f t="shared" si="12"/>
        <v>448</v>
      </c>
      <c r="H28" s="61">
        <f t="shared" si="11"/>
        <v>1400</v>
      </c>
      <c r="I28" s="61">
        <f t="shared" si="12"/>
        <v>1400</v>
      </c>
      <c r="J28" s="61">
        <f t="shared" si="11"/>
        <v>1000</v>
      </c>
      <c r="K28" s="61">
        <f t="shared" si="12"/>
        <v>583</v>
      </c>
      <c r="L28" s="21">
        <f t="shared" si="4"/>
        <v>5488</v>
      </c>
      <c r="M28" s="21">
        <v>448</v>
      </c>
      <c r="N28" s="21">
        <v>1400</v>
      </c>
      <c r="O28" s="21">
        <v>583</v>
      </c>
      <c r="P28" s="117">
        <v>1</v>
      </c>
      <c r="Q28" s="117">
        <f t="shared" si="3"/>
        <v>0.67100000000000004</v>
      </c>
      <c r="R28" s="117">
        <f t="shared" si="3"/>
        <v>0.32900000000000001</v>
      </c>
      <c r="S28" s="117">
        <f t="shared" si="5"/>
        <v>0.67100000000000004</v>
      </c>
      <c r="T28" s="117">
        <f t="shared" si="6"/>
        <v>2.7E-2</v>
      </c>
      <c r="U28" s="117">
        <f t="shared" si="7"/>
        <v>0.67100000000000004</v>
      </c>
      <c r="V28" s="117">
        <f t="shared" si="8"/>
        <v>0.32900000000000001</v>
      </c>
      <c r="W28" s="117">
        <f t="shared" si="9"/>
        <v>0.67100000000000004</v>
      </c>
      <c r="X28" s="117">
        <f t="shared" si="10"/>
        <v>0.32900000000000001</v>
      </c>
      <c r="Y28" s="11">
        <v>0.33600000000000002</v>
      </c>
      <c r="Z28">
        <v>2.7E-2</v>
      </c>
      <c r="AA28">
        <v>8.5999999999999993E-2</v>
      </c>
      <c r="AB28">
        <v>3.5999999999999997E-2</v>
      </c>
    </row>
    <row r="29" spans="1:28" x14ac:dyDescent="0.25">
      <c r="A29" s="14" t="s">
        <v>201</v>
      </c>
      <c r="B29" s="18" t="str">
        <f>'Strip Components cost'!A9</f>
        <v xml:space="preserve">Power Chip cost </v>
      </c>
      <c r="C29" s="61">
        <f>F61</f>
        <v>16352</v>
      </c>
      <c r="D29" s="61">
        <f>D61</f>
        <v>10976</v>
      </c>
      <c r="E29" s="61">
        <f>E61</f>
        <v>5376</v>
      </c>
      <c r="F29" s="61">
        <f t="shared" si="11"/>
        <v>4390</v>
      </c>
      <c r="G29" s="61">
        <f t="shared" si="12"/>
        <v>448</v>
      </c>
      <c r="H29" s="61">
        <f t="shared" si="11"/>
        <v>1400</v>
      </c>
      <c r="I29" s="61">
        <f t="shared" si="12"/>
        <v>1400</v>
      </c>
      <c r="J29" s="61">
        <f t="shared" si="11"/>
        <v>1000</v>
      </c>
      <c r="K29" s="61">
        <f t="shared" si="12"/>
        <v>583</v>
      </c>
      <c r="L29" s="21">
        <f t="shared" si="4"/>
        <v>5488</v>
      </c>
      <c r="M29" s="21">
        <v>448</v>
      </c>
      <c r="N29" s="21">
        <v>1400</v>
      </c>
      <c r="O29" s="21">
        <v>583</v>
      </c>
      <c r="P29" s="117">
        <v>1</v>
      </c>
      <c r="Q29" s="117">
        <f t="shared" si="3"/>
        <v>0.67100000000000004</v>
      </c>
      <c r="R29" s="117">
        <f t="shared" si="3"/>
        <v>0.32900000000000001</v>
      </c>
      <c r="S29" s="117">
        <f t="shared" si="5"/>
        <v>0.67100000000000004</v>
      </c>
      <c r="T29" s="117">
        <f t="shared" si="6"/>
        <v>2.7E-2</v>
      </c>
      <c r="U29" s="117">
        <f t="shared" si="7"/>
        <v>0.67100000000000004</v>
      </c>
      <c r="V29" s="117">
        <f t="shared" si="8"/>
        <v>0.32900000000000001</v>
      </c>
      <c r="W29" s="117">
        <f t="shared" si="9"/>
        <v>0.67100000000000004</v>
      </c>
      <c r="X29" s="117">
        <f t="shared" si="10"/>
        <v>0.32900000000000001</v>
      </c>
      <c r="Y29" s="11">
        <v>0.33600000000000002</v>
      </c>
      <c r="Z29">
        <v>2.7E-2</v>
      </c>
      <c r="AA29">
        <v>8.5999999999999993E-2</v>
      </c>
      <c r="AB29">
        <v>3.5999999999999997E-2</v>
      </c>
    </row>
    <row r="30" spans="1:28" ht="26.4" x14ac:dyDescent="0.25">
      <c r="A30" s="14" t="s">
        <v>203</v>
      </c>
      <c r="B30" s="18" t="str">
        <f>'Strip Components cost'!A32</f>
        <v>EOS board, SMD stuffed (at least 6 layers)</v>
      </c>
      <c r="C30" s="61">
        <f>2*(B47+C47+D47)</f>
        <v>1552</v>
      </c>
      <c r="D30" s="61">
        <f>($B$47+$C$47)*2</f>
        <v>784</v>
      </c>
      <c r="E30" s="61">
        <f>$D$47*2</f>
        <v>768</v>
      </c>
      <c r="F30" s="61">
        <f t="shared" si="11"/>
        <v>314</v>
      </c>
      <c r="G30" s="61">
        <f t="shared" si="12"/>
        <v>64</v>
      </c>
      <c r="H30" s="61">
        <f t="shared" si="11"/>
        <v>100</v>
      </c>
      <c r="I30" s="61">
        <f t="shared" si="12"/>
        <v>200</v>
      </c>
      <c r="J30" s="61">
        <v>0</v>
      </c>
      <c r="K30" s="61">
        <v>0</v>
      </c>
      <c r="L30" s="21">
        <f t="shared" si="4"/>
        <v>392</v>
      </c>
      <c r="M30" s="21">
        <v>64</v>
      </c>
      <c r="N30" s="21">
        <v>100</v>
      </c>
      <c r="O30" s="21">
        <v>0</v>
      </c>
      <c r="P30" s="117">
        <v>1</v>
      </c>
      <c r="Q30" s="117">
        <f t="shared" si="3"/>
        <v>0.505</v>
      </c>
      <c r="R30" s="117">
        <f t="shared" si="3"/>
        <v>0.495</v>
      </c>
      <c r="S30" s="117">
        <f t="shared" si="5"/>
        <v>0.505</v>
      </c>
      <c r="T30" s="117">
        <f t="shared" si="6"/>
        <v>4.1000000000000002E-2</v>
      </c>
      <c r="U30" s="117">
        <f t="shared" si="7"/>
        <v>0.505</v>
      </c>
      <c r="V30" s="117">
        <f t="shared" si="8"/>
        <v>0.495</v>
      </c>
      <c r="W30" s="117">
        <v>0</v>
      </c>
      <c r="X30" s="117">
        <v>0</v>
      </c>
      <c r="Y30" s="11">
        <v>0.253</v>
      </c>
      <c r="Z30">
        <v>4.1000000000000002E-2</v>
      </c>
      <c r="AA30">
        <v>6.4000000000000001E-2</v>
      </c>
      <c r="AB30">
        <v>0</v>
      </c>
    </row>
    <row r="31" spans="1:28" x14ac:dyDescent="0.25">
      <c r="A31" s="14" t="s">
        <v>204</v>
      </c>
      <c r="B31" s="18" t="str">
        <f>'Strip Components cost'!A33</f>
        <v>Versatile Link</v>
      </c>
      <c r="C31" s="61">
        <f>F60</f>
        <v>3376</v>
      </c>
      <c r="D31" s="61">
        <f>D60</f>
        <v>1840</v>
      </c>
      <c r="E31" s="61">
        <f>E60</f>
        <v>1536</v>
      </c>
      <c r="F31" s="61">
        <f t="shared" si="11"/>
        <v>736</v>
      </c>
      <c r="G31" s="61">
        <f t="shared" si="12"/>
        <v>128</v>
      </c>
      <c r="H31" s="61">
        <f t="shared" si="11"/>
        <v>235</v>
      </c>
      <c r="I31" s="61">
        <f t="shared" si="12"/>
        <v>400</v>
      </c>
      <c r="J31" s="61">
        <v>0</v>
      </c>
      <c r="K31" s="61">
        <v>0</v>
      </c>
      <c r="L31" s="21">
        <f t="shared" si="4"/>
        <v>920</v>
      </c>
      <c r="M31" s="21">
        <v>128</v>
      </c>
      <c r="N31" s="21">
        <v>235</v>
      </c>
      <c r="O31" s="21">
        <v>0</v>
      </c>
      <c r="P31" s="117">
        <v>1</v>
      </c>
      <c r="Q31" s="117">
        <f t="shared" si="3"/>
        <v>0.54500000000000004</v>
      </c>
      <c r="R31" s="117">
        <f t="shared" si="3"/>
        <v>0.45500000000000002</v>
      </c>
      <c r="S31" s="117">
        <f t="shared" si="5"/>
        <v>0.54500000000000004</v>
      </c>
      <c r="T31" s="117">
        <f t="shared" si="6"/>
        <v>3.7999999999999999E-2</v>
      </c>
      <c r="U31" s="117">
        <f t="shared" si="7"/>
        <v>0.54500000000000004</v>
      </c>
      <c r="V31" s="117">
        <f t="shared" si="8"/>
        <v>0.45500000000000002</v>
      </c>
      <c r="W31" s="117">
        <v>0</v>
      </c>
      <c r="X31" s="117">
        <v>0</v>
      </c>
      <c r="Y31" s="11">
        <v>0.27300000000000002</v>
      </c>
      <c r="Z31">
        <v>3.7999999999999999E-2</v>
      </c>
      <c r="AA31">
        <v>7.0000000000000007E-2</v>
      </c>
      <c r="AB31">
        <v>0</v>
      </c>
    </row>
    <row r="32" spans="1:28" x14ac:dyDescent="0.25">
      <c r="A32" s="14" t="s">
        <v>205</v>
      </c>
      <c r="B32" s="18" t="str">
        <f>'Strip Components cost'!A34</f>
        <v>GBT</v>
      </c>
      <c r="C32" s="61">
        <f>2*(B47+C47+D47)</f>
        <v>1552</v>
      </c>
      <c r="D32" s="61">
        <f t="shared" ref="D32:D33" si="16">($B$47+$C$47)*2</f>
        <v>784</v>
      </c>
      <c r="E32" s="61">
        <f t="shared" ref="E32:E33" si="17">$D$47*2</f>
        <v>768</v>
      </c>
      <c r="F32" s="61">
        <f t="shared" si="11"/>
        <v>314</v>
      </c>
      <c r="G32" s="61">
        <f t="shared" si="12"/>
        <v>64</v>
      </c>
      <c r="H32" s="61">
        <f t="shared" si="11"/>
        <v>100</v>
      </c>
      <c r="I32" s="61">
        <f t="shared" si="12"/>
        <v>200</v>
      </c>
      <c r="J32" s="61">
        <v>0</v>
      </c>
      <c r="K32" s="61">
        <v>0</v>
      </c>
      <c r="L32" s="21">
        <f t="shared" si="4"/>
        <v>392</v>
      </c>
      <c r="M32" s="21">
        <v>64</v>
      </c>
      <c r="N32" s="21">
        <v>100</v>
      </c>
      <c r="O32" s="21">
        <v>0</v>
      </c>
      <c r="P32" s="117">
        <v>1</v>
      </c>
      <c r="Q32" s="117">
        <f t="shared" si="3"/>
        <v>0.505</v>
      </c>
      <c r="R32" s="117">
        <f t="shared" si="3"/>
        <v>0.495</v>
      </c>
      <c r="S32" s="117">
        <f t="shared" si="5"/>
        <v>0.505</v>
      </c>
      <c r="T32" s="117">
        <f t="shared" si="6"/>
        <v>4.1000000000000002E-2</v>
      </c>
      <c r="U32" s="117">
        <f t="shared" si="7"/>
        <v>0.505</v>
      </c>
      <c r="V32" s="117">
        <f t="shared" si="8"/>
        <v>0.495</v>
      </c>
      <c r="W32" s="117">
        <v>0</v>
      </c>
      <c r="X32" s="117">
        <v>0</v>
      </c>
      <c r="Y32" s="11">
        <v>0.253</v>
      </c>
      <c r="Z32">
        <v>4.1000000000000002E-2</v>
      </c>
      <c r="AA32">
        <v>6.4000000000000001E-2</v>
      </c>
      <c r="AB32">
        <v>0</v>
      </c>
    </row>
    <row r="33" spans="1:28" x14ac:dyDescent="0.25">
      <c r="A33" s="14" t="s">
        <v>206</v>
      </c>
      <c r="B33" s="18" t="str">
        <f>'Strip Components cost'!A35</f>
        <v>GBT SCA</v>
      </c>
      <c r="C33" s="61">
        <f>2*(B47+C47+D47)</f>
        <v>1552</v>
      </c>
      <c r="D33" s="61">
        <f t="shared" si="16"/>
        <v>784</v>
      </c>
      <c r="E33" s="61">
        <f t="shared" si="17"/>
        <v>768</v>
      </c>
      <c r="F33" s="61">
        <f t="shared" si="11"/>
        <v>314</v>
      </c>
      <c r="G33" s="61">
        <f t="shared" si="12"/>
        <v>64</v>
      </c>
      <c r="H33" s="61">
        <f t="shared" si="11"/>
        <v>100</v>
      </c>
      <c r="I33" s="61">
        <f t="shared" si="12"/>
        <v>200</v>
      </c>
      <c r="J33" s="61">
        <v>0</v>
      </c>
      <c r="K33" s="61">
        <v>0</v>
      </c>
      <c r="L33" s="21">
        <f t="shared" si="4"/>
        <v>392</v>
      </c>
      <c r="M33" s="21">
        <v>64</v>
      </c>
      <c r="N33" s="21">
        <v>100</v>
      </c>
      <c r="O33" s="21">
        <v>0</v>
      </c>
      <c r="P33" s="117">
        <v>1</v>
      </c>
      <c r="Q33" s="117">
        <f t="shared" si="3"/>
        <v>0.505</v>
      </c>
      <c r="R33" s="117">
        <f t="shared" si="3"/>
        <v>0.495</v>
      </c>
      <c r="S33" s="117">
        <f t="shared" si="5"/>
        <v>0.505</v>
      </c>
      <c r="T33" s="117">
        <f t="shared" si="6"/>
        <v>4.1000000000000002E-2</v>
      </c>
      <c r="U33" s="117">
        <f t="shared" si="7"/>
        <v>0.505</v>
      </c>
      <c r="V33" s="117">
        <f t="shared" si="8"/>
        <v>0.495</v>
      </c>
      <c r="W33" s="117">
        <v>0</v>
      </c>
      <c r="X33" s="117">
        <v>0</v>
      </c>
      <c r="Y33" s="11">
        <v>0.253</v>
      </c>
      <c r="Z33">
        <v>4.1000000000000002E-2</v>
      </c>
      <c r="AA33">
        <v>6.4000000000000001E-2</v>
      </c>
      <c r="AB33">
        <v>0</v>
      </c>
    </row>
    <row r="34" spans="1:28" x14ac:dyDescent="0.25">
      <c r="A34" s="14" t="s">
        <v>202</v>
      </c>
      <c r="B34" s="18" t="str">
        <f>'Strip Components cost'!A28</f>
        <v>HV switches/controller</v>
      </c>
      <c r="C34" s="61">
        <f>F61</f>
        <v>16352</v>
      </c>
      <c r="D34" s="61">
        <f>D61</f>
        <v>10976</v>
      </c>
      <c r="E34" s="61">
        <f>E61</f>
        <v>5376</v>
      </c>
      <c r="F34" s="61">
        <f t="shared" si="11"/>
        <v>4390</v>
      </c>
      <c r="G34" s="61">
        <f t="shared" si="12"/>
        <v>448</v>
      </c>
      <c r="H34" s="61">
        <f t="shared" si="11"/>
        <v>1400</v>
      </c>
      <c r="I34" s="61">
        <f t="shared" si="12"/>
        <v>1400</v>
      </c>
      <c r="J34" s="61">
        <f t="shared" si="11"/>
        <v>1000</v>
      </c>
      <c r="K34" s="61">
        <f t="shared" si="12"/>
        <v>583</v>
      </c>
      <c r="L34" s="21">
        <f t="shared" si="4"/>
        <v>5488</v>
      </c>
      <c r="M34" s="21">
        <v>448</v>
      </c>
      <c r="N34" s="21">
        <v>1400</v>
      </c>
      <c r="O34" s="21">
        <v>583</v>
      </c>
      <c r="P34" s="117">
        <v>1</v>
      </c>
      <c r="Q34" s="117">
        <f t="shared" si="3"/>
        <v>0.67100000000000004</v>
      </c>
      <c r="R34" s="117">
        <f t="shared" si="3"/>
        <v>0.32900000000000001</v>
      </c>
      <c r="S34" s="117">
        <f t="shared" si="5"/>
        <v>0.67100000000000004</v>
      </c>
      <c r="T34" s="117">
        <f t="shared" si="6"/>
        <v>2.7E-2</v>
      </c>
      <c r="U34" s="117">
        <f t="shared" si="7"/>
        <v>0.67100000000000004</v>
      </c>
      <c r="V34" s="117">
        <f t="shared" si="8"/>
        <v>0.32900000000000001</v>
      </c>
      <c r="W34" s="117">
        <f t="shared" si="9"/>
        <v>0.67100000000000004</v>
      </c>
      <c r="X34" s="117">
        <f t="shared" si="10"/>
        <v>0.32900000000000001</v>
      </c>
      <c r="Y34" s="11">
        <v>0.33600000000000002</v>
      </c>
      <c r="Z34">
        <v>2.7E-2</v>
      </c>
      <c r="AA34">
        <v>8.5999999999999993E-2</v>
      </c>
      <c r="AB34">
        <v>3.5999999999999997E-2</v>
      </c>
    </row>
    <row r="35" spans="1:28" x14ac:dyDescent="0.25">
      <c r="A35" s="14" t="s">
        <v>219</v>
      </c>
      <c r="B35" s="18" t="str">
        <f>'Strip Components cost'!A55</f>
        <v>DAQ</v>
      </c>
      <c r="C35" s="60">
        <v>0</v>
      </c>
      <c r="D35" s="60">
        <v>0</v>
      </c>
      <c r="E35" s="60">
        <v>0</v>
      </c>
      <c r="F35" s="60">
        <v>0</v>
      </c>
      <c r="G35" s="60">
        <v>0</v>
      </c>
      <c r="H35" s="60">
        <v>0</v>
      </c>
      <c r="I35" s="60">
        <v>0</v>
      </c>
      <c r="J35" s="60">
        <v>0</v>
      </c>
      <c r="K35" s="60">
        <v>0</v>
      </c>
      <c r="L35" s="17">
        <f t="shared" si="4"/>
        <v>0</v>
      </c>
      <c r="M35" s="17">
        <v>0</v>
      </c>
      <c r="N35" s="17">
        <v>0</v>
      </c>
      <c r="O35" s="17">
        <v>0</v>
      </c>
      <c r="P35" s="117">
        <v>1</v>
      </c>
      <c r="Q35" s="117"/>
      <c r="R35" s="117"/>
      <c r="S35" s="117">
        <f t="shared" si="5"/>
        <v>0</v>
      </c>
      <c r="T35" s="117">
        <f t="shared" si="6"/>
        <v>0</v>
      </c>
      <c r="U35" s="117">
        <v>0</v>
      </c>
      <c r="V35" s="117">
        <f t="shared" si="8"/>
        <v>0</v>
      </c>
      <c r="W35" s="117">
        <v>0</v>
      </c>
      <c r="X35" s="117">
        <v>0</v>
      </c>
      <c r="Y35" s="11">
        <v>0</v>
      </c>
      <c r="Z35">
        <v>0</v>
      </c>
      <c r="AA35">
        <v>0</v>
      </c>
      <c r="AB35">
        <v>0</v>
      </c>
    </row>
    <row r="36" spans="1:28" x14ac:dyDescent="0.25">
      <c r="A36" s="14" t="s">
        <v>220</v>
      </c>
      <c r="B36" s="18" t="str">
        <f>'Strip Components cost'!A56</f>
        <v>DCS</v>
      </c>
      <c r="C36" s="60">
        <v>1</v>
      </c>
      <c r="D36" s="60">
        <f>D58/F58</f>
        <v>0.63</v>
      </c>
      <c r="E36" s="60">
        <f>E58/F58</f>
        <v>0.37</v>
      </c>
      <c r="F36" s="60">
        <f>$D36*F$4</f>
        <v>0.25</v>
      </c>
      <c r="G36" s="60">
        <f>$E36*G$4</f>
        <v>0.03</v>
      </c>
      <c r="H36" s="60">
        <v>0</v>
      </c>
      <c r="I36" s="60">
        <v>0</v>
      </c>
      <c r="J36" s="60">
        <v>0</v>
      </c>
      <c r="K36" s="60">
        <v>0</v>
      </c>
      <c r="L36" s="17">
        <f t="shared" si="4"/>
        <v>0.32</v>
      </c>
      <c r="M36" s="17">
        <v>0.03</v>
      </c>
      <c r="N36" s="17">
        <v>0</v>
      </c>
      <c r="O36" s="17">
        <v>0</v>
      </c>
      <c r="P36" s="117">
        <v>1</v>
      </c>
      <c r="Q36" s="117">
        <f t="shared" si="3"/>
        <v>0.63</v>
      </c>
      <c r="R36" s="117">
        <f t="shared" si="3"/>
        <v>0.37</v>
      </c>
      <c r="S36" s="117">
        <f t="shared" si="5"/>
        <v>0.63</v>
      </c>
      <c r="T36" s="117">
        <f t="shared" si="6"/>
        <v>3.1E-2</v>
      </c>
      <c r="U36" s="117">
        <v>0</v>
      </c>
      <c r="V36" s="117">
        <v>0</v>
      </c>
      <c r="W36" s="117">
        <v>0</v>
      </c>
      <c r="X36" s="117">
        <v>0</v>
      </c>
      <c r="Y36" s="11">
        <v>0.315</v>
      </c>
      <c r="Z36">
        <v>3.1E-2</v>
      </c>
      <c r="AA36">
        <v>0</v>
      </c>
      <c r="AB36">
        <v>0</v>
      </c>
    </row>
    <row r="37" spans="1:28" ht="26.4" x14ac:dyDescent="0.25">
      <c r="A37" s="14" t="s">
        <v>221</v>
      </c>
      <c r="B37" s="18" t="str">
        <f>'Strip Components cost'!A57</f>
        <v>LV supply per EOS card, 20 V, 10 A</v>
      </c>
      <c r="C37" s="61">
        <f>2*(B47+C47+D47)</f>
        <v>1552</v>
      </c>
      <c r="D37" s="61">
        <f t="shared" ref="D37:D38" si="18">($B$47+$C$47)*2</f>
        <v>784</v>
      </c>
      <c r="E37" s="61">
        <f t="shared" ref="E37:E38" si="19">$D$47*2</f>
        <v>768</v>
      </c>
      <c r="F37" s="61">
        <f t="shared" si="11"/>
        <v>314</v>
      </c>
      <c r="G37" s="61">
        <f t="shared" si="12"/>
        <v>64</v>
      </c>
      <c r="H37" s="61">
        <v>0</v>
      </c>
      <c r="I37" s="61">
        <v>0</v>
      </c>
      <c r="J37" s="61">
        <v>0</v>
      </c>
      <c r="K37" s="61">
        <v>0</v>
      </c>
      <c r="L37" s="21">
        <f t="shared" si="4"/>
        <v>392</v>
      </c>
      <c r="M37" s="21">
        <v>64</v>
      </c>
      <c r="N37" s="21">
        <v>0</v>
      </c>
      <c r="O37" s="21">
        <v>0</v>
      </c>
      <c r="P37" s="117">
        <v>1</v>
      </c>
      <c r="Q37" s="117">
        <f t="shared" si="3"/>
        <v>0.505</v>
      </c>
      <c r="R37" s="117">
        <f t="shared" si="3"/>
        <v>0.495</v>
      </c>
      <c r="S37" s="117">
        <f t="shared" si="5"/>
        <v>0.505</v>
      </c>
      <c r="T37" s="117">
        <f t="shared" si="6"/>
        <v>4.1000000000000002E-2</v>
      </c>
      <c r="U37" s="117">
        <v>0</v>
      </c>
      <c r="V37" s="117">
        <v>0</v>
      </c>
      <c r="W37" s="117">
        <v>0</v>
      </c>
      <c r="X37" s="117">
        <v>0</v>
      </c>
      <c r="Y37" s="11">
        <v>0.253</v>
      </c>
      <c r="Z37">
        <v>4.1000000000000002E-2</v>
      </c>
      <c r="AA37">
        <v>0</v>
      </c>
      <c r="AB37">
        <v>0</v>
      </c>
    </row>
    <row r="38" spans="1:28" ht="39.6" x14ac:dyDescent="0.25">
      <c r="A38" s="14" t="s">
        <v>222</v>
      </c>
      <c r="B38" s="30" t="str">
        <f>'Strip Components cost'!A59</f>
        <v>HV supply 12 sensor , with multplexing, 500 V, 40 mA, crate costs included</v>
      </c>
      <c r="C38" s="12">
        <f>2*(B47+C47+D47)</f>
        <v>1552</v>
      </c>
      <c r="D38" s="12">
        <f t="shared" si="18"/>
        <v>784</v>
      </c>
      <c r="E38" s="12">
        <f t="shared" si="19"/>
        <v>768</v>
      </c>
      <c r="F38" s="62">
        <f t="shared" ref="F38:G40" si="20">D38*F$4</f>
        <v>313.60000000000002</v>
      </c>
      <c r="G38" s="62">
        <f t="shared" si="20"/>
        <v>64</v>
      </c>
      <c r="H38" s="62">
        <v>0</v>
      </c>
      <c r="I38" s="62">
        <v>0</v>
      </c>
      <c r="J38" s="62">
        <v>0</v>
      </c>
      <c r="K38" s="62">
        <v>0</v>
      </c>
      <c r="L38" s="15">
        <f t="shared" si="4"/>
        <v>392</v>
      </c>
      <c r="M38" s="15">
        <v>64</v>
      </c>
      <c r="N38" s="15">
        <v>0</v>
      </c>
      <c r="O38" s="15">
        <v>0</v>
      </c>
      <c r="P38" s="117">
        <v>1</v>
      </c>
      <c r="Q38" s="117">
        <f t="shared" si="3"/>
        <v>0.505</v>
      </c>
      <c r="R38" s="117">
        <f t="shared" si="3"/>
        <v>0.495</v>
      </c>
      <c r="S38" s="117">
        <f t="shared" si="5"/>
        <v>0.505</v>
      </c>
      <c r="T38" s="117">
        <f t="shared" si="6"/>
        <v>4.1000000000000002E-2</v>
      </c>
      <c r="U38" s="117">
        <v>0</v>
      </c>
      <c r="V38" s="117">
        <v>0</v>
      </c>
      <c r="W38" s="117">
        <v>0</v>
      </c>
      <c r="X38" s="117">
        <v>0</v>
      </c>
      <c r="Y38" s="11">
        <v>0.253</v>
      </c>
      <c r="Z38">
        <v>4.1000000000000002E-2</v>
      </c>
      <c r="AA38">
        <v>0</v>
      </c>
      <c r="AB38">
        <v>0</v>
      </c>
    </row>
    <row r="39" spans="1:28" ht="26.4" x14ac:dyDescent="0.25">
      <c r="B39" s="31" t="str">
        <f>'Strip Components cost'!A60</f>
        <v>Global supports per sensor area (m2)</v>
      </c>
      <c r="C39" s="62">
        <f>F62</f>
        <v>165.3</v>
      </c>
      <c r="D39" s="62">
        <f>D62</f>
        <v>104.9</v>
      </c>
      <c r="E39" s="62">
        <f>$E$62</f>
        <v>60.4</v>
      </c>
      <c r="F39" s="62">
        <f t="shared" si="20"/>
        <v>42</v>
      </c>
      <c r="G39" s="62">
        <f t="shared" si="20"/>
        <v>5</v>
      </c>
      <c r="H39" s="62">
        <v>0</v>
      </c>
      <c r="I39" s="62">
        <v>0</v>
      </c>
      <c r="J39" s="62">
        <v>0</v>
      </c>
      <c r="K39" s="62">
        <v>0</v>
      </c>
      <c r="L39" s="38">
        <f t="shared" si="4"/>
        <v>52.5</v>
      </c>
      <c r="M39" s="38">
        <v>5</v>
      </c>
      <c r="N39" s="38">
        <v>0</v>
      </c>
      <c r="O39" s="38">
        <v>0</v>
      </c>
      <c r="P39" s="117">
        <v>1</v>
      </c>
      <c r="Q39" s="117">
        <f t="shared" si="3"/>
        <v>0.63500000000000001</v>
      </c>
      <c r="R39" s="117">
        <f t="shared" si="3"/>
        <v>0.36499999999999999</v>
      </c>
      <c r="S39" s="117">
        <f t="shared" si="5"/>
        <v>0.63500000000000001</v>
      </c>
      <c r="T39" s="117">
        <f t="shared" si="6"/>
        <v>0.03</v>
      </c>
      <c r="U39" s="117">
        <v>0</v>
      </c>
      <c r="V39" s="117">
        <v>0</v>
      </c>
      <c r="W39" s="117">
        <v>0</v>
      </c>
      <c r="X39" s="117">
        <v>0</v>
      </c>
      <c r="Y39" s="11">
        <v>0.318</v>
      </c>
      <c r="Z39">
        <v>0.03</v>
      </c>
      <c r="AA39">
        <v>0</v>
      </c>
      <c r="AB39">
        <v>0</v>
      </c>
    </row>
    <row r="40" spans="1:28" x14ac:dyDescent="0.25">
      <c r="B40" s="31" t="str">
        <f>'Strip Components cost'!A61</f>
        <v>Services per sensor area (m2)</v>
      </c>
      <c r="C40" s="62">
        <f>F62</f>
        <v>165.3</v>
      </c>
      <c r="D40" s="62">
        <f>D62</f>
        <v>104.9</v>
      </c>
      <c r="E40" s="62">
        <f t="shared" ref="E40" si="21">$E$62</f>
        <v>60.4</v>
      </c>
      <c r="F40" s="62">
        <f t="shared" si="20"/>
        <v>42</v>
      </c>
      <c r="G40" s="62">
        <f t="shared" si="20"/>
        <v>5</v>
      </c>
      <c r="H40" s="62">
        <v>0</v>
      </c>
      <c r="I40" s="62">
        <v>0</v>
      </c>
      <c r="J40" s="62">
        <v>0</v>
      </c>
      <c r="K40" s="62">
        <v>0</v>
      </c>
      <c r="L40" s="38">
        <f t="shared" si="4"/>
        <v>52.5</v>
      </c>
      <c r="M40" s="38">
        <v>5</v>
      </c>
      <c r="N40" s="38">
        <v>0</v>
      </c>
      <c r="O40" s="38">
        <v>0</v>
      </c>
      <c r="P40" s="117">
        <v>1</v>
      </c>
      <c r="Q40" s="117">
        <f t="shared" si="3"/>
        <v>0.63500000000000001</v>
      </c>
      <c r="R40" s="117">
        <f t="shared" si="3"/>
        <v>0.36499999999999999</v>
      </c>
      <c r="S40" s="117">
        <f t="shared" si="5"/>
        <v>0.63500000000000001</v>
      </c>
      <c r="T40" s="117">
        <f t="shared" si="6"/>
        <v>0.03</v>
      </c>
      <c r="U40" s="117">
        <v>0</v>
      </c>
      <c r="V40" s="117">
        <v>0</v>
      </c>
      <c r="W40" s="117">
        <v>0</v>
      </c>
      <c r="X40" s="117">
        <v>0</v>
      </c>
      <c r="Y40" s="11">
        <v>0.318</v>
      </c>
      <c r="Z40">
        <v>0.03</v>
      </c>
      <c r="AA40">
        <v>0</v>
      </c>
      <c r="AB40">
        <v>0</v>
      </c>
    </row>
    <row r="41" spans="1:28" ht="15.75" customHeight="1" x14ac:dyDescent="0.25">
      <c r="B41" s="31" t="str">
        <f>'Strip Components cost'!A62</f>
        <v>Core Jigging (Modules, local supports, global supports)</v>
      </c>
      <c r="C41" s="60">
        <v>1</v>
      </c>
      <c r="D41" s="60">
        <f>D58/F58</f>
        <v>0.63</v>
      </c>
      <c r="E41" s="60">
        <f>E58/F58</f>
        <v>0.37</v>
      </c>
      <c r="F41" s="60">
        <f t="shared" ref="F41" si="22">D41*F$4</f>
        <v>0.25</v>
      </c>
      <c r="G41" s="60">
        <f t="shared" ref="G41" si="23">E41*G$4</f>
        <v>0.03</v>
      </c>
      <c r="H41" s="60">
        <v>0</v>
      </c>
      <c r="I41" s="60">
        <v>0</v>
      </c>
      <c r="J41" s="60">
        <v>0</v>
      </c>
      <c r="K41" s="60">
        <v>0</v>
      </c>
      <c r="L41" s="17">
        <f t="shared" si="4"/>
        <v>0.32</v>
      </c>
      <c r="M41" s="17">
        <v>0.03</v>
      </c>
      <c r="N41" s="17">
        <v>0</v>
      </c>
      <c r="O41" s="17">
        <v>0</v>
      </c>
      <c r="P41" s="117">
        <v>1</v>
      </c>
      <c r="Q41" s="117">
        <f t="shared" si="3"/>
        <v>0.63</v>
      </c>
      <c r="R41" s="117">
        <f t="shared" si="3"/>
        <v>0.37</v>
      </c>
      <c r="S41" s="117">
        <f t="shared" si="5"/>
        <v>0.63</v>
      </c>
      <c r="T41" s="117">
        <f t="shared" si="6"/>
        <v>3.1E-2</v>
      </c>
      <c r="U41" s="117">
        <v>0</v>
      </c>
      <c r="V41" s="117">
        <v>0</v>
      </c>
      <c r="W41" s="117">
        <v>0</v>
      </c>
      <c r="X41" s="117">
        <v>0</v>
      </c>
      <c r="Y41" s="11">
        <v>0.315</v>
      </c>
      <c r="Z41">
        <v>3.1E-2</v>
      </c>
      <c r="AA41">
        <v>0</v>
      </c>
      <c r="AB41">
        <v>0</v>
      </c>
    </row>
    <row r="42" spans="1:28" x14ac:dyDescent="0.25">
      <c r="P42" s="21" t="s">
        <v>16</v>
      </c>
    </row>
    <row r="45" spans="1:28" x14ac:dyDescent="0.25">
      <c r="B45" t="s">
        <v>247</v>
      </c>
    </row>
    <row r="46" spans="1:28" ht="39.6" x14ac:dyDescent="0.25">
      <c r="B46" s="6" t="s">
        <v>248</v>
      </c>
      <c r="C46" s="6" t="s">
        <v>249</v>
      </c>
      <c r="D46" t="s">
        <v>250</v>
      </c>
      <c r="O46" s="6" t="s">
        <v>248</v>
      </c>
      <c r="P46" s="6" t="s">
        <v>249</v>
      </c>
      <c r="Q46" t="s">
        <v>250</v>
      </c>
    </row>
    <row r="47" spans="1:28" x14ac:dyDescent="0.25">
      <c r="A47" t="s">
        <v>251</v>
      </c>
      <c r="B47">
        <v>136</v>
      </c>
      <c r="C47">
        <v>256</v>
      </c>
      <c r="D47">
        <v>384</v>
      </c>
      <c r="E47" t="s">
        <v>16</v>
      </c>
      <c r="F47" t="s">
        <v>16</v>
      </c>
      <c r="G47" t="s">
        <v>16</v>
      </c>
      <c r="O47">
        <v>136</v>
      </c>
      <c r="P47">
        <v>256</v>
      </c>
      <c r="Q47">
        <v>384</v>
      </c>
      <c r="R47" t="s">
        <v>16</v>
      </c>
      <c r="S47" t="s">
        <v>16</v>
      </c>
    </row>
    <row r="48" spans="1:28" x14ac:dyDescent="0.25">
      <c r="A48" t="s">
        <v>255</v>
      </c>
      <c r="B48">
        <v>28</v>
      </c>
      <c r="C48">
        <v>28</v>
      </c>
      <c r="D48">
        <v>18</v>
      </c>
      <c r="O48">
        <v>28</v>
      </c>
      <c r="P48">
        <v>28</v>
      </c>
      <c r="Q48">
        <v>18</v>
      </c>
    </row>
    <row r="49" spans="1:19" x14ac:dyDescent="0.25">
      <c r="A49" t="s">
        <v>252</v>
      </c>
      <c r="B49">
        <f>B48*2</f>
        <v>56</v>
      </c>
      <c r="C49">
        <f>C48</f>
        <v>28</v>
      </c>
      <c r="D49">
        <v>26</v>
      </c>
      <c r="O49">
        <f>O48*2</f>
        <v>56</v>
      </c>
      <c r="P49">
        <f>P48</f>
        <v>28</v>
      </c>
      <c r="Q49">
        <v>26</v>
      </c>
    </row>
    <row r="50" spans="1:19" x14ac:dyDescent="0.25">
      <c r="A50" t="s">
        <v>253</v>
      </c>
      <c r="B50">
        <f>B49*10</f>
        <v>560</v>
      </c>
      <c r="C50">
        <f>C49*10</f>
        <v>280</v>
      </c>
      <c r="D50">
        <v>224</v>
      </c>
      <c r="O50">
        <f>O49*10</f>
        <v>560</v>
      </c>
      <c r="P50">
        <f>P49*10</f>
        <v>280</v>
      </c>
      <c r="Q50">
        <v>224</v>
      </c>
    </row>
    <row r="51" spans="1:19" x14ac:dyDescent="0.25">
      <c r="A51" t="s">
        <v>254</v>
      </c>
      <c r="B51">
        <f>B49</f>
        <v>56</v>
      </c>
      <c r="C51">
        <f>C49</f>
        <v>28</v>
      </c>
      <c r="D51">
        <v>28</v>
      </c>
      <c r="O51">
        <f>O49</f>
        <v>56</v>
      </c>
      <c r="P51">
        <f>P49</f>
        <v>28</v>
      </c>
      <c r="Q51">
        <v>28</v>
      </c>
    </row>
    <row r="52" spans="1:19" x14ac:dyDescent="0.25">
      <c r="A52" t="s">
        <v>264</v>
      </c>
      <c r="B52">
        <v>6</v>
      </c>
      <c r="C52">
        <v>4</v>
      </c>
      <c r="D52">
        <v>4</v>
      </c>
      <c r="O52">
        <v>6</v>
      </c>
      <c r="P52">
        <v>4</v>
      </c>
      <c r="Q52">
        <v>4</v>
      </c>
    </row>
    <row r="53" spans="1:19" x14ac:dyDescent="0.25">
      <c r="A53" t="s">
        <v>258</v>
      </c>
      <c r="B53">
        <f>B48</f>
        <v>28</v>
      </c>
      <c r="C53">
        <f>C48</f>
        <v>28</v>
      </c>
      <c r="D53">
        <v>14</v>
      </c>
      <c r="O53">
        <f>O48</f>
        <v>28</v>
      </c>
      <c r="P53">
        <f>P48</f>
        <v>28</v>
      </c>
      <c r="Q53">
        <v>14</v>
      </c>
    </row>
    <row r="55" spans="1:19" x14ac:dyDescent="0.25">
      <c r="A55" t="s">
        <v>129</v>
      </c>
      <c r="B55" t="s">
        <v>179</v>
      </c>
      <c r="C55" t="s">
        <v>180</v>
      </c>
      <c r="D55" t="s">
        <v>260</v>
      </c>
      <c r="E55" t="s">
        <v>261</v>
      </c>
      <c r="F55" t="s">
        <v>129</v>
      </c>
      <c r="O55" t="s">
        <v>179</v>
      </c>
      <c r="P55" t="s">
        <v>180</v>
      </c>
      <c r="Q55" t="s">
        <v>260</v>
      </c>
      <c r="R55" t="s">
        <v>261</v>
      </c>
      <c r="S55" t="s">
        <v>129</v>
      </c>
    </row>
    <row r="56" spans="1:19" x14ac:dyDescent="0.25">
      <c r="A56" t="s">
        <v>18</v>
      </c>
      <c r="B56">
        <f>B47*B48</f>
        <v>3808</v>
      </c>
      <c r="C56">
        <f t="shared" ref="C56" si="24">C47*C48</f>
        <v>7168</v>
      </c>
      <c r="D56">
        <f>B56+C56</f>
        <v>10976</v>
      </c>
      <c r="E56">
        <f>D47*D48</f>
        <v>6912</v>
      </c>
      <c r="F56">
        <f>D56+E56</f>
        <v>17888</v>
      </c>
      <c r="O56">
        <f>O47*O48</f>
        <v>3808</v>
      </c>
      <c r="P56">
        <f t="shared" ref="P56" si="25">P47*P48</f>
        <v>7168</v>
      </c>
      <c r="Q56">
        <f>O56+P56</f>
        <v>10976</v>
      </c>
      <c r="R56">
        <f>Q47*Q48</f>
        <v>6912</v>
      </c>
      <c r="S56">
        <f>Q56+R56</f>
        <v>17888</v>
      </c>
    </row>
    <row r="57" spans="1:19" x14ac:dyDescent="0.25">
      <c r="A57" t="s">
        <v>17</v>
      </c>
      <c r="B57">
        <f>B47*B49</f>
        <v>7616</v>
      </c>
      <c r="C57">
        <f t="shared" ref="C57" si="26">C47*C49</f>
        <v>7168</v>
      </c>
      <c r="D57">
        <f t="shared" ref="D57:D61" si="27">B57+C57</f>
        <v>14784</v>
      </c>
      <c r="E57">
        <f>D47*D49</f>
        <v>9984</v>
      </c>
      <c r="F57">
        <f t="shared" ref="F57:F62" si="28">D57+E57</f>
        <v>24768</v>
      </c>
      <c r="O57">
        <f>O47*O49</f>
        <v>7616</v>
      </c>
      <c r="P57">
        <f t="shared" ref="P57" si="29">P47*P49</f>
        <v>7168</v>
      </c>
      <c r="Q57">
        <f t="shared" ref="Q57:Q61" si="30">O57+P57</f>
        <v>14784</v>
      </c>
      <c r="R57">
        <f>Q47*Q49</f>
        <v>9984</v>
      </c>
      <c r="S57">
        <f t="shared" ref="S57:S59" si="31">Q57+R57</f>
        <v>24768</v>
      </c>
    </row>
    <row r="58" spans="1:19" x14ac:dyDescent="0.25">
      <c r="A58" t="s">
        <v>256</v>
      </c>
      <c r="B58">
        <f>B47*B50</f>
        <v>76160</v>
      </c>
      <c r="C58">
        <f t="shared" ref="C58" si="32">C47*C50</f>
        <v>71680</v>
      </c>
      <c r="D58">
        <f t="shared" si="27"/>
        <v>147840</v>
      </c>
      <c r="E58">
        <f>D47*D50</f>
        <v>86016</v>
      </c>
      <c r="F58">
        <f t="shared" si="28"/>
        <v>233856</v>
      </c>
      <c r="O58">
        <f>O47*O50</f>
        <v>76160</v>
      </c>
      <c r="P58">
        <f t="shared" ref="P58" si="33">P47*P50</f>
        <v>71680</v>
      </c>
      <c r="Q58">
        <f t="shared" si="30"/>
        <v>147840</v>
      </c>
      <c r="R58">
        <f>Q47*Q50</f>
        <v>86016</v>
      </c>
      <c r="S58">
        <f t="shared" si="31"/>
        <v>233856</v>
      </c>
    </row>
    <row r="59" spans="1:19" x14ac:dyDescent="0.25">
      <c r="A59" t="s">
        <v>257</v>
      </c>
      <c r="B59">
        <f>B47*B51</f>
        <v>7616</v>
      </c>
      <c r="C59">
        <f t="shared" ref="C59" si="34">C47*C51</f>
        <v>7168</v>
      </c>
      <c r="D59">
        <f t="shared" si="27"/>
        <v>14784</v>
      </c>
      <c r="E59">
        <f>D47*D51</f>
        <v>10752</v>
      </c>
      <c r="F59">
        <f t="shared" si="28"/>
        <v>25536</v>
      </c>
      <c r="O59">
        <f>O47*O51</f>
        <v>7616</v>
      </c>
      <c r="P59">
        <f t="shared" ref="P59" si="35">P47*P51</f>
        <v>7168</v>
      </c>
      <c r="Q59">
        <f t="shared" si="30"/>
        <v>14784</v>
      </c>
      <c r="R59">
        <f>Q47*Q51</f>
        <v>10752</v>
      </c>
      <c r="S59">
        <f t="shared" si="31"/>
        <v>25536</v>
      </c>
    </row>
    <row r="60" spans="1:19" x14ac:dyDescent="0.25">
      <c r="A60" t="s">
        <v>265</v>
      </c>
      <c r="B60">
        <f>B47*B52</f>
        <v>816</v>
      </c>
      <c r="C60">
        <f>C47*C52</f>
        <v>1024</v>
      </c>
      <c r="D60">
        <f t="shared" si="27"/>
        <v>1840</v>
      </c>
      <c r="E60">
        <f>D47*D52</f>
        <v>1536</v>
      </c>
      <c r="F60">
        <f>D60+E60</f>
        <v>3376</v>
      </c>
      <c r="O60">
        <f>O47*O52</f>
        <v>816</v>
      </c>
      <c r="P60">
        <f>P47*P52</f>
        <v>1024</v>
      </c>
      <c r="Q60">
        <f t="shared" si="30"/>
        <v>1840</v>
      </c>
      <c r="R60">
        <f>Q47*Q52</f>
        <v>1536</v>
      </c>
      <c r="S60">
        <f>Q60+R60</f>
        <v>3376</v>
      </c>
    </row>
    <row r="61" spans="1:19" x14ac:dyDescent="0.25">
      <c r="A61" t="s">
        <v>259</v>
      </c>
      <c r="B61">
        <f>B47*B53</f>
        <v>3808</v>
      </c>
      <c r="C61">
        <f t="shared" ref="C61" si="36">C47*C53</f>
        <v>7168</v>
      </c>
      <c r="D61">
        <f t="shared" si="27"/>
        <v>10976</v>
      </c>
      <c r="E61">
        <f>D47*D53</f>
        <v>5376</v>
      </c>
      <c r="F61">
        <f t="shared" si="28"/>
        <v>16352</v>
      </c>
      <c r="O61">
        <f>O47*O53</f>
        <v>3808</v>
      </c>
      <c r="P61">
        <f t="shared" ref="P61" si="37">P47*P53</f>
        <v>7168</v>
      </c>
      <c r="Q61">
        <f t="shared" si="30"/>
        <v>10976</v>
      </c>
      <c r="R61">
        <f>Q47*Q53</f>
        <v>5376</v>
      </c>
      <c r="S61">
        <f t="shared" ref="S61:S62" si="38">Q61+R61</f>
        <v>16352</v>
      </c>
    </row>
    <row r="62" spans="1:19" x14ac:dyDescent="0.25">
      <c r="A62" t="s">
        <v>262</v>
      </c>
      <c r="B62" s="13">
        <f>97.851*97.634/1000/1000*B56</f>
        <v>36.4</v>
      </c>
      <c r="C62" s="13">
        <f>97.851*97.634/1000/1000*C56</f>
        <v>68.5</v>
      </c>
      <c r="D62" s="13">
        <f>B62+C62</f>
        <v>104.9</v>
      </c>
      <c r="E62" s="13">
        <f>60.39</f>
        <v>60.4</v>
      </c>
      <c r="F62" s="13">
        <f t="shared" si="28"/>
        <v>165.3</v>
      </c>
      <c r="O62" s="13">
        <f>97.851*97.634/1000/1000*O56</f>
        <v>36.4</v>
      </c>
      <c r="P62" s="13">
        <f>97.851*97.634/1000/1000*P56</f>
        <v>68.5</v>
      </c>
      <c r="Q62" s="13">
        <f>O62+P62</f>
        <v>104.9</v>
      </c>
      <c r="R62" s="13">
        <f>60.39</f>
        <v>60.4</v>
      </c>
      <c r="S62" s="13">
        <f t="shared" si="38"/>
        <v>165.3</v>
      </c>
    </row>
  </sheetData>
  <phoneticPr fontId="5"/>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O52"/>
  <sheetViews>
    <sheetView workbookViewId="0">
      <selection activeCell="D41" sqref="D41"/>
    </sheetView>
  </sheetViews>
  <sheetFormatPr defaultColWidth="8.77734375" defaultRowHeight="13.2" x14ac:dyDescent="0.25"/>
  <cols>
    <col min="1" max="1" width="17.109375" customWidth="1"/>
    <col min="2" max="2" width="39.109375" customWidth="1"/>
    <col min="3" max="4" width="15" customWidth="1"/>
    <col min="5" max="5" width="12.6640625" customWidth="1"/>
    <col min="6" max="6" width="13.44140625" customWidth="1"/>
    <col min="7" max="7" width="15" customWidth="1"/>
    <col min="8" max="8" width="9.109375" bestFit="1" customWidth="1"/>
    <col min="9" max="9" width="10.44140625" bestFit="1" customWidth="1"/>
    <col min="10" max="10" width="8.77734375" customWidth="1"/>
    <col min="11" max="11" width="10.6640625" customWidth="1"/>
    <col min="12" max="12" width="5.44140625" bestFit="1" customWidth="1"/>
    <col min="13" max="13" width="20.77734375" bestFit="1" customWidth="1"/>
    <col min="14" max="14" width="21.109375" bestFit="1" customWidth="1"/>
    <col min="15" max="15" width="16.109375" bestFit="1" customWidth="1"/>
    <col min="16" max="16" width="16" bestFit="1" customWidth="1"/>
  </cols>
  <sheetData>
    <row r="1" spans="1:14" ht="39.6" x14ac:dyDescent="0.25">
      <c r="A1" t="s">
        <v>242</v>
      </c>
      <c r="B1" t="s">
        <v>126</v>
      </c>
      <c r="C1" s="25" t="s">
        <v>127</v>
      </c>
      <c r="D1" s="66" t="s">
        <v>364</v>
      </c>
      <c r="E1" s="64" t="s">
        <v>241</v>
      </c>
      <c r="F1" s="25" t="s">
        <v>231</v>
      </c>
      <c r="G1" s="63" t="s">
        <v>130</v>
      </c>
      <c r="H1" s="25" t="s">
        <v>283</v>
      </c>
      <c r="I1" s="25" t="s">
        <v>284</v>
      </c>
      <c r="J1" s="25" t="s">
        <v>287</v>
      </c>
    </row>
    <row r="2" spans="1:14" x14ac:dyDescent="0.25">
      <c r="A2" s="14" t="s">
        <v>189</v>
      </c>
      <c r="B2" s="18" t="str">
        <f>'Strip Components cost'!A14</f>
        <v>HPK cost per mask set, sensor type</v>
      </c>
      <c r="C2">
        <f>'Strip Components cost'!F14</f>
        <v>70000</v>
      </c>
      <c r="D2" s="67">
        <v>0</v>
      </c>
      <c r="E2" s="119">
        <f>D2*'Strip Calculations of Size'!C5</f>
        <v>0</v>
      </c>
      <c r="F2" s="11">
        <f>1*'Strip Yields + Preproduction'!B30</f>
        <v>2</v>
      </c>
      <c r="G2" s="62">
        <f t="shared" ref="G2:G35" si="0">C2*E2*F2/1000</f>
        <v>0</v>
      </c>
      <c r="H2" s="38">
        <v>280</v>
      </c>
      <c r="I2" s="38">
        <v>840</v>
      </c>
      <c r="J2" s="38">
        <v>1120</v>
      </c>
      <c r="K2" s="8"/>
      <c r="L2" s="14" t="s">
        <v>142</v>
      </c>
      <c r="M2" s="24" t="s">
        <v>244</v>
      </c>
      <c r="N2" t="s">
        <v>243</v>
      </c>
    </row>
    <row r="3" spans="1:14" ht="26.4" x14ac:dyDescent="0.25">
      <c r="A3" s="14" t="s">
        <v>190</v>
      </c>
      <c r="B3" s="18" t="str">
        <f>'Strip Components cost'!A15</f>
        <v>HPK cost per sensor, assuming 1 per 6" wafer</v>
      </c>
      <c r="C3">
        <f>'Strip Components cost'!F15</f>
        <v>1100</v>
      </c>
      <c r="D3" s="67">
        <v>0</v>
      </c>
      <c r="E3" s="118">
        <f>D3*'Strip Calculations of Size'!C6</f>
        <v>0</v>
      </c>
      <c r="F3" s="11">
        <f>'Strip Yields + Preproduction'!F4*'Strip Yields + Preproduction'!B29</f>
        <v>1.2130000000000001</v>
      </c>
      <c r="G3" s="62">
        <f t="shared" si="0"/>
        <v>0</v>
      </c>
      <c r="H3" s="38">
        <v>14654.9</v>
      </c>
      <c r="I3" s="38">
        <v>9213</v>
      </c>
      <c r="J3" s="38">
        <v>23868</v>
      </c>
      <c r="K3" s="8"/>
      <c r="L3" s="23" t="s">
        <v>176</v>
      </c>
      <c r="M3" s="23" t="s">
        <v>18</v>
      </c>
      <c r="N3" s="32">
        <f>(G3)/1000</f>
        <v>0</v>
      </c>
    </row>
    <row r="4" spans="1:14" x14ac:dyDescent="0.25">
      <c r="A4" s="14" t="s">
        <v>191</v>
      </c>
      <c r="B4" s="18" t="str">
        <f>'Strip Components cost'!A5</f>
        <v>IBM 130 nm wafer design mask cost</v>
      </c>
      <c r="C4">
        <f>'Strip Components cost'!F5</f>
        <v>299257.59999999998</v>
      </c>
      <c r="D4" s="67">
        <v>0</v>
      </c>
      <c r="E4" s="65">
        <f>D4*'Strip Calculations of Size'!C7</f>
        <v>0</v>
      </c>
      <c r="F4" s="11">
        <f>1*'Strip Yields + Preproduction'!B30</f>
        <v>2</v>
      </c>
      <c r="G4" s="62">
        <f t="shared" si="0"/>
        <v>0</v>
      </c>
      <c r="H4" s="38">
        <v>754.1</v>
      </c>
      <c r="I4" s="38">
        <v>442.9</v>
      </c>
      <c r="J4" s="38">
        <v>1197</v>
      </c>
      <c r="K4" s="8"/>
      <c r="L4" s="23" t="s">
        <v>175</v>
      </c>
      <c r="M4" s="23" t="s">
        <v>173</v>
      </c>
      <c r="N4" s="32">
        <f>G2/1000</f>
        <v>0</v>
      </c>
    </row>
    <row r="5" spans="1:14" x14ac:dyDescent="0.25">
      <c r="A5" s="14" t="s">
        <v>192</v>
      </c>
      <c r="B5" s="18" t="str">
        <f>'Strip Components cost'!A7</f>
        <v>ABCn costs</v>
      </c>
      <c r="C5">
        <f>'Strip Components cost'!F7</f>
        <v>5.5568</v>
      </c>
      <c r="D5" s="67">
        <v>0</v>
      </c>
      <c r="E5" s="118">
        <f>D5*'Strip Calculations of Size'!C8</f>
        <v>0</v>
      </c>
      <c r="F5" s="11">
        <f>'Strip Yields + Preproduction'!H6*'Strip Yields + Preproduction'!B29</f>
        <v>1.4119999999999999</v>
      </c>
      <c r="G5" s="62">
        <f t="shared" si="0"/>
        <v>0</v>
      </c>
      <c r="H5" s="38">
        <v>1159.5999999999999</v>
      </c>
      <c r="I5" s="38">
        <v>675.2</v>
      </c>
      <c r="J5" s="38">
        <v>1834.9</v>
      </c>
      <c r="K5" s="8"/>
      <c r="L5" s="23" t="s">
        <v>143</v>
      </c>
      <c r="M5" s="23" t="s">
        <v>10</v>
      </c>
      <c r="N5" s="32">
        <f>(G5+G6)/1000</f>
        <v>0</v>
      </c>
    </row>
    <row r="6" spans="1:14" x14ac:dyDescent="0.25">
      <c r="A6" s="14" t="s">
        <v>193</v>
      </c>
      <c r="B6" s="18" t="str">
        <f>'Strip Components cost'!A11</f>
        <v>HCC cost</v>
      </c>
      <c r="C6">
        <f>'Strip Components cost'!F11</f>
        <v>2.6128</v>
      </c>
      <c r="D6" s="67">
        <v>0</v>
      </c>
      <c r="E6" s="118">
        <f>D6*'Strip Calculations of Size'!C9</f>
        <v>0</v>
      </c>
      <c r="F6" s="11">
        <f>'Strip Yields + Preproduction'!H6*'Strip Yields + Preproduction'!B29</f>
        <v>1.4119999999999999</v>
      </c>
      <c r="G6" s="62">
        <f t="shared" si="0"/>
        <v>0</v>
      </c>
      <c r="H6" s="38">
        <v>54.5</v>
      </c>
      <c r="I6" s="38">
        <v>39.700000000000003</v>
      </c>
      <c r="J6" s="38">
        <v>94.2</v>
      </c>
      <c r="K6" s="8"/>
      <c r="L6" s="23" t="s">
        <v>144</v>
      </c>
      <c r="M6" s="23" t="s">
        <v>174</v>
      </c>
      <c r="N6" s="32">
        <f>G4/1000</f>
        <v>0</v>
      </c>
    </row>
    <row r="7" spans="1:14" x14ac:dyDescent="0.25">
      <c r="A7" s="14" t="s">
        <v>194</v>
      </c>
      <c r="B7" s="18" t="str">
        <f>'Strip Components cost'!A18</f>
        <v>Bare flex hybrids in panel with 3 or 4 layers</v>
      </c>
      <c r="C7">
        <f>'Strip Components cost'!F18</f>
        <v>135.9</v>
      </c>
      <c r="D7" s="67">
        <v>0</v>
      </c>
      <c r="E7" s="118">
        <f>D7*'Strip Calculations of Size'!C10</f>
        <v>0</v>
      </c>
      <c r="F7" s="11">
        <f>'Strip Yields + Preproduction'!G5*'Strip Yields + Preproduction'!B29</f>
        <v>1.298</v>
      </c>
      <c r="G7" s="62">
        <f t="shared" si="0"/>
        <v>0</v>
      </c>
      <c r="H7" s="38">
        <v>2608.3000000000002</v>
      </c>
      <c r="I7" s="38">
        <v>1760.7</v>
      </c>
      <c r="J7" s="38">
        <v>4369</v>
      </c>
      <c r="K7" s="8"/>
      <c r="L7" s="14" t="s">
        <v>145</v>
      </c>
      <c r="M7" s="14" t="s">
        <v>146</v>
      </c>
      <c r="N7" s="33">
        <f>(G7+G8)/1000</f>
        <v>0</v>
      </c>
    </row>
    <row r="8" spans="1:14" x14ac:dyDescent="0.25">
      <c r="A8" s="14" t="s">
        <v>195</v>
      </c>
      <c r="B8" s="18" t="str">
        <f>'Strip Components cost'!A19</f>
        <v>Flex hybrids SMD in panel</v>
      </c>
      <c r="C8">
        <f>'Strip Components cost'!F19</f>
        <v>30.2</v>
      </c>
      <c r="D8" s="67">
        <v>0</v>
      </c>
      <c r="E8" s="118">
        <f>D8*'Strip Calculations of Size'!C11</f>
        <v>0</v>
      </c>
      <c r="F8" s="11">
        <f>'Strip Yields + Preproduction'!G5*'Strip Yields + Preproduction'!B29</f>
        <v>1.298</v>
      </c>
      <c r="G8" s="62">
        <f t="shared" si="0"/>
        <v>0</v>
      </c>
      <c r="H8" s="38">
        <v>579.6</v>
      </c>
      <c r="I8" s="38">
        <v>391.3</v>
      </c>
      <c r="J8" s="38">
        <v>970.9</v>
      </c>
      <c r="K8" s="8"/>
      <c r="L8" s="14" t="s">
        <v>147</v>
      </c>
      <c r="M8" s="14" t="s">
        <v>148</v>
      </c>
      <c r="N8" s="33">
        <f>G10/1000</f>
        <v>0</v>
      </c>
    </row>
    <row r="9" spans="1:14" x14ac:dyDescent="0.25">
      <c r="A9" s="14" t="s">
        <v>196</v>
      </c>
      <c r="B9" s="18" t="str">
        <f>'Strip Components cost'!A20</f>
        <v>ASIC attachment and wire bonding</v>
      </c>
      <c r="C9">
        <f>'Strip Components cost'!F20</f>
        <v>78.528999999999996</v>
      </c>
      <c r="D9" s="67">
        <v>0</v>
      </c>
      <c r="E9" s="118">
        <f>D9*'Strip Calculations of Size'!C12</f>
        <v>0</v>
      </c>
      <c r="F9" s="11">
        <f>'Strip Yields + Preproduction'!G5*'Strip Yields + Preproduction'!B29</f>
        <v>1.298</v>
      </c>
      <c r="G9" s="62">
        <f t="shared" si="0"/>
        <v>0</v>
      </c>
      <c r="H9" s="38">
        <v>1507.2</v>
      </c>
      <c r="I9" s="38">
        <v>1017.4</v>
      </c>
      <c r="J9" s="38">
        <v>2524.6</v>
      </c>
      <c r="K9" s="8"/>
      <c r="L9" s="14" t="s">
        <v>149</v>
      </c>
      <c r="M9" s="14" t="s">
        <v>150</v>
      </c>
      <c r="N9" s="33">
        <f>G9/1000</f>
        <v>0</v>
      </c>
    </row>
    <row r="10" spans="1:14" x14ac:dyDescent="0.25">
      <c r="A10" s="14" t="s">
        <v>197</v>
      </c>
      <c r="B10" s="18" t="str">
        <f>'Strip Components cost'!A21</f>
        <v>Bonding Wires (FE and BE)</v>
      </c>
      <c r="C10">
        <f>'Strip Components cost'!F21</f>
        <v>16.61</v>
      </c>
      <c r="D10" s="67">
        <v>0</v>
      </c>
      <c r="E10" s="118">
        <f>D10*'Strip Calculations of Size'!C13</f>
        <v>0</v>
      </c>
      <c r="F10" s="11">
        <f>'Strip Yields + Preproduction'!G5*'Strip Yields + Preproduction'!B29</f>
        <v>1.298</v>
      </c>
      <c r="G10" s="62">
        <f t="shared" si="0"/>
        <v>0</v>
      </c>
      <c r="H10" s="38">
        <v>318.8</v>
      </c>
      <c r="I10" s="38">
        <v>215.2</v>
      </c>
      <c r="J10" s="38">
        <v>534</v>
      </c>
      <c r="K10" s="8"/>
      <c r="L10" s="14" t="s">
        <v>151</v>
      </c>
      <c r="M10" s="14" t="s">
        <v>177</v>
      </c>
      <c r="N10" s="33">
        <f>SUM(G11,G24)/1000</f>
        <v>0</v>
      </c>
    </row>
    <row r="11" spans="1:14" x14ac:dyDescent="0.25">
      <c r="A11" s="14" t="s">
        <v>198</v>
      </c>
      <c r="B11" s="18" t="str">
        <f>'Strip Components cost'!A24</f>
        <v>Bus cables</v>
      </c>
      <c r="C11">
        <f>'Strip Components cost'!F24</f>
        <v>506</v>
      </c>
      <c r="D11" s="67">
        <v>0</v>
      </c>
      <c r="E11" s="118">
        <f>D11*'Strip Calculations of Size'!C14</f>
        <v>0</v>
      </c>
      <c r="F11" s="11">
        <f>'Strip Yields + Preproduction'!C4*'Strip Yields + Preproduction'!B29</f>
        <v>1.61</v>
      </c>
      <c r="G11" s="62">
        <f t="shared" si="0"/>
        <v>0</v>
      </c>
      <c r="H11" s="38">
        <v>638.5</v>
      </c>
      <c r="I11" s="38">
        <v>625.9</v>
      </c>
      <c r="J11" s="38">
        <v>1264.4000000000001</v>
      </c>
      <c r="K11" s="8"/>
      <c r="L11" s="14" t="s">
        <v>152</v>
      </c>
      <c r="M11" s="14" t="s">
        <v>170</v>
      </c>
      <c r="N11" s="33">
        <f>SUM(G13,G19)/1000</f>
        <v>0</v>
      </c>
    </row>
    <row r="12" spans="1:14" x14ac:dyDescent="0.25">
      <c r="A12" s="14" t="s">
        <v>207</v>
      </c>
      <c r="B12" s="18" t="str">
        <f>'Strip Components cost'!A38</f>
        <v>2 CF Facings- Stave</v>
      </c>
      <c r="C12">
        <f>'Strip Components cost'!F38</f>
        <v>408.48</v>
      </c>
      <c r="D12" s="67">
        <v>0</v>
      </c>
      <c r="E12" s="65">
        <f>D12*'Strip Calculations of Size'!C15</f>
        <v>0</v>
      </c>
      <c r="F12" s="11">
        <f>'Strip Yields + Preproduction'!C4*'Strip Yields + Preproduction'!B29</f>
        <v>1.61</v>
      </c>
      <c r="G12" s="62">
        <f t="shared" si="0"/>
        <v>0</v>
      </c>
      <c r="H12" s="38">
        <v>257.8</v>
      </c>
      <c r="I12" s="38">
        <v>0</v>
      </c>
      <c r="J12" s="38">
        <v>257.8</v>
      </c>
      <c r="K12" s="8"/>
      <c r="L12" s="14" t="s">
        <v>153</v>
      </c>
      <c r="M12" s="14" t="s">
        <v>169</v>
      </c>
      <c r="N12" s="33">
        <f>SUM(G16,G22)/1000</f>
        <v>0</v>
      </c>
    </row>
    <row r="13" spans="1:14" x14ac:dyDescent="0.25">
      <c r="A13" s="14" t="s">
        <v>208</v>
      </c>
      <c r="B13" s="18" t="str">
        <f>'Strip Components cost'!A39</f>
        <v>CF Honeycomb-Stave</v>
      </c>
      <c r="C13">
        <f>'Strip Components cost'!F39</f>
        <v>1069.96</v>
      </c>
      <c r="D13" s="67">
        <v>0</v>
      </c>
      <c r="E13" s="65">
        <f>D13*'Strip Calculations of Size'!C16</f>
        <v>0</v>
      </c>
      <c r="F13" s="11">
        <f>'Strip Yields + Preproduction'!D4*'Strip Yields + Preproduction'!B29</f>
        <v>1.29</v>
      </c>
      <c r="G13" s="62">
        <f t="shared" si="0"/>
        <v>0</v>
      </c>
      <c r="H13" s="38">
        <v>541.1</v>
      </c>
      <c r="I13" s="38">
        <v>0</v>
      </c>
      <c r="J13" s="38">
        <v>541.1</v>
      </c>
      <c r="K13" s="8"/>
      <c r="L13" s="14" t="s">
        <v>154</v>
      </c>
      <c r="M13" s="14" t="s">
        <v>168</v>
      </c>
      <c r="N13" s="33">
        <f>SUM(G12,G18,G15,G21)/1000</f>
        <v>0</v>
      </c>
    </row>
    <row r="14" spans="1:14" x14ac:dyDescent="0.25">
      <c r="A14" s="14" t="s">
        <v>209</v>
      </c>
      <c r="B14" s="18" t="str">
        <f>'Strip Components cost'!A40</f>
        <v>Ti Pipe Assemblies-Stave</v>
      </c>
      <c r="C14">
        <f>'Strip Components cost'!F40</f>
        <v>607.92600000000004</v>
      </c>
      <c r="D14" s="67">
        <v>0</v>
      </c>
      <c r="E14" s="65">
        <f>D14*'Strip Calculations of Size'!C17</f>
        <v>0</v>
      </c>
      <c r="F14" s="11">
        <f>'Strip Yields + Preproduction'!D4*'Strip Yields + Preproduction'!B29</f>
        <v>1.29</v>
      </c>
      <c r="G14" s="62">
        <f t="shared" si="0"/>
        <v>0</v>
      </c>
      <c r="H14" s="38">
        <v>307.39999999999998</v>
      </c>
      <c r="I14" s="38">
        <v>0</v>
      </c>
      <c r="J14" s="38">
        <v>307.39999999999998</v>
      </c>
      <c r="K14" s="8"/>
      <c r="L14" s="14" t="s">
        <v>155</v>
      </c>
      <c r="M14" s="14" t="s">
        <v>167</v>
      </c>
      <c r="N14" s="33">
        <f>SUM(G14,G20)/1000</f>
        <v>0</v>
      </c>
    </row>
    <row r="15" spans="1:14" x14ac:dyDescent="0.25">
      <c r="A15" s="14" t="s">
        <v>210</v>
      </c>
      <c r="B15" s="18" t="str">
        <f>'Strip Components cost'!A41</f>
        <v>C-chanels and closeouts-Stave</v>
      </c>
      <c r="C15">
        <f>'Strip Components cost'!F41</f>
        <v>24.914999999999999</v>
      </c>
      <c r="D15" s="67">
        <v>0</v>
      </c>
      <c r="E15" s="65">
        <f>D15*'Strip Calculations of Size'!C18</f>
        <v>0</v>
      </c>
      <c r="F15" s="11">
        <f>'Strip Yields + Preproduction'!D4*'Strip Yields + Preproduction'!B29</f>
        <v>1.29</v>
      </c>
      <c r="G15" s="62">
        <f t="shared" si="0"/>
        <v>0</v>
      </c>
      <c r="H15" s="38">
        <v>12.6</v>
      </c>
      <c r="I15" s="38">
        <v>0</v>
      </c>
      <c r="J15" s="38">
        <v>12.6</v>
      </c>
      <c r="K15" s="8"/>
      <c r="L15" s="14" t="s">
        <v>156</v>
      </c>
      <c r="M15" s="14" t="s">
        <v>171</v>
      </c>
      <c r="N15" s="33">
        <f>SUM(G17,G23)/1000</f>
        <v>0</v>
      </c>
    </row>
    <row r="16" spans="1:14" x14ac:dyDescent="0.25">
      <c r="A16" s="14" t="s">
        <v>211</v>
      </c>
      <c r="B16" s="18" t="str">
        <f>'Strip Components cost'!A42</f>
        <v>PocoFoam-Stave</v>
      </c>
      <c r="C16">
        <f>'Strip Components cost'!F42</f>
        <v>356.04</v>
      </c>
      <c r="D16" s="67">
        <v>0</v>
      </c>
      <c r="E16" s="65">
        <f>D16*'Strip Calculations of Size'!C19</f>
        <v>0</v>
      </c>
      <c r="F16" s="11">
        <f>'Strip Yields + Preproduction'!D4*'Strip Yields + Preproduction'!B29</f>
        <v>1.29</v>
      </c>
      <c r="G16" s="62">
        <f t="shared" si="0"/>
        <v>0</v>
      </c>
      <c r="H16" s="38">
        <v>180</v>
      </c>
      <c r="I16" s="38">
        <v>0</v>
      </c>
      <c r="J16" s="38">
        <v>180</v>
      </c>
      <c r="K16" s="8"/>
      <c r="L16" s="40" t="s">
        <v>157</v>
      </c>
      <c r="M16" s="40" t="s">
        <v>240</v>
      </c>
      <c r="N16" s="41">
        <f>G26/1000</f>
        <v>0</v>
      </c>
    </row>
    <row r="17" spans="1:15" x14ac:dyDescent="0.25">
      <c r="A17" s="14" t="s">
        <v>212</v>
      </c>
      <c r="B17" s="18" t="str">
        <f>'Strip Components cost'!A44</f>
        <v>Stave Core Assembly in Industry</v>
      </c>
      <c r="C17">
        <f>'Strip Components cost'!F44</f>
        <v>2650.7689999999998</v>
      </c>
      <c r="D17" s="67">
        <v>0</v>
      </c>
      <c r="E17" s="65">
        <f>D17*'Strip Calculations of Size'!C20</f>
        <v>0</v>
      </c>
      <c r="F17" s="11">
        <f>'Strip Yields + Preproduction'!D4*'Strip Yields + Preproduction'!B29</f>
        <v>1.29</v>
      </c>
      <c r="G17" s="62">
        <f t="shared" si="0"/>
        <v>0</v>
      </c>
      <c r="H17" s="38">
        <v>1340.4</v>
      </c>
      <c r="I17" s="38">
        <v>0</v>
      </c>
      <c r="J17" s="38">
        <v>1340.4</v>
      </c>
      <c r="K17" s="8"/>
      <c r="L17" s="22" t="s">
        <v>158</v>
      </c>
      <c r="M17" s="22" t="s">
        <v>185</v>
      </c>
      <c r="N17" s="34">
        <f>G33/1000</f>
        <v>0</v>
      </c>
    </row>
    <row r="18" spans="1:15" x14ac:dyDescent="0.25">
      <c r="A18" s="14" t="s">
        <v>213</v>
      </c>
      <c r="B18" s="18" t="str">
        <f>'Strip Components cost'!A46</f>
        <v>2 CF Facings- Petal</v>
      </c>
      <c r="C18">
        <f>'Strip Components cost'!F46</f>
        <v>253</v>
      </c>
      <c r="D18" s="67">
        <v>0</v>
      </c>
      <c r="E18" s="118">
        <f>D18*'Strip Calculations of Size'!C21</f>
        <v>0</v>
      </c>
      <c r="F18" s="11">
        <f>'Strip Yields + Preproduction'!C4*'Strip Yields + Preproduction'!B29</f>
        <v>1.61</v>
      </c>
      <c r="G18" s="62">
        <f t="shared" si="0"/>
        <v>0</v>
      </c>
      <c r="H18" s="38">
        <v>0</v>
      </c>
      <c r="I18" s="38">
        <v>156.4</v>
      </c>
      <c r="J18" s="38">
        <v>156.4</v>
      </c>
      <c r="K18" s="8"/>
      <c r="L18" s="23" t="s">
        <v>159</v>
      </c>
      <c r="M18" s="23" t="s">
        <v>166</v>
      </c>
      <c r="N18" s="32">
        <f>G27/1000</f>
        <v>0</v>
      </c>
    </row>
    <row r="19" spans="1:15" x14ac:dyDescent="0.25">
      <c r="A19" s="14" t="s">
        <v>214</v>
      </c>
      <c r="B19" s="18" t="str">
        <f>'Strip Components cost'!A47</f>
        <v>CF Honeycomb-Petal</v>
      </c>
      <c r="C19">
        <f>'Strip Components cost'!F47</f>
        <v>866.64</v>
      </c>
      <c r="D19" s="67">
        <v>0</v>
      </c>
      <c r="E19" s="118">
        <f>D19*'Strip Calculations of Size'!C22</f>
        <v>0</v>
      </c>
      <c r="F19" s="11">
        <f>'Strip Yields + Preproduction'!D4*'Strip Yields + Preproduction'!B29</f>
        <v>1.29</v>
      </c>
      <c r="G19" s="62">
        <f t="shared" si="0"/>
        <v>0</v>
      </c>
      <c r="H19" s="38">
        <v>0</v>
      </c>
      <c r="I19" s="38">
        <v>429.3</v>
      </c>
      <c r="J19" s="38">
        <v>429.3</v>
      </c>
      <c r="K19" s="8"/>
      <c r="L19" s="23" t="s">
        <v>160</v>
      </c>
      <c r="M19" s="23" t="s">
        <v>39</v>
      </c>
      <c r="N19" s="32">
        <f>G28/1000</f>
        <v>0</v>
      </c>
    </row>
    <row r="20" spans="1:15" x14ac:dyDescent="0.25">
      <c r="A20" s="14" t="s">
        <v>215</v>
      </c>
      <c r="B20" s="18" t="str">
        <f>'Strip Components cost'!A48</f>
        <v>Ti Pipe Assemblies-Petal</v>
      </c>
      <c r="C20">
        <f>'Strip Components cost'!F48</f>
        <v>476.70699999999999</v>
      </c>
      <c r="D20" s="67">
        <v>0</v>
      </c>
      <c r="E20" s="118">
        <f>D20*'Strip Calculations of Size'!C23</f>
        <v>0</v>
      </c>
      <c r="F20" s="11">
        <f>'Strip Yields + Preproduction'!D4*'Strip Yields + Preproduction'!B29</f>
        <v>1.29</v>
      </c>
      <c r="G20" s="62">
        <f t="shared" si="0"/>
        <v>0</v>
      </c>
      <c r="H20" s="38">
        <v>0</v>
      </c>
      <c r="I20" s="38">
        <v>236.1</v>
      </c>
      <c r="J20" s="38">
        <v>236.1</v>
      </c>
      <c r="K20" s="8"/>
      <c r="L20" s="14" t="s">
        <v>161</v>
      </c>
      <c r="M20" s="14" t="s">
        <v>40</v>
      </c>
      <c r="N20" s="33">
        <f>SUM(G29:G30)/1000</f>
        <v>0</v>
      </c>
    </row>
    <row r="21" spans="1:15" x14ac:dyDescent="0.25">
      <c r="A21" s="14" t="s">
        <v>216</v>
      </c>
      <c r="B21" s="18" t="str">
        <f>'Strip Components cost'!A49</f>
        <v>C-chanels and closeouts-Petal</v>
      </c>
      <c r="C21">
        <f>'Strip Components cost'!F49</f>
        <v>24.914999999999999</v>
      </c>
      <c r="D21" s="67">
        <v>0</v>
      </c>
      <c r="E21" s="118">
        <f>D21*'Strip Calculations of Size'!C24</f>
        <v>0</v>
      </c>
      <c r="F21" s="11">
        <f>'Strip Yields + Preproduction'!D4*'Strip Yields + Preproduction'!B29</f>
        <v>1.29</v>
      </c>
      <c r="G21" s="62">
        <f t="shared" si="0"/>
        <v>0</v>
      </c>
      <c r="H21" s="38">
        <v>0</v>
      </c>
      <c r="I21" s="38">
        <v>12.3</v>
      </c>
      <c r="J21" s="38">
        <v>12.3</v>
      </c>
      <c r="K21" s="8"/>
      <c r="L21" s="14" t="s">
        <v>162</v>
      </c>
      <c r="M21" s="14" t="s">
        <v>165</v>
      </c>
      <c r="N21" s="33">
        <f>G25/1000+G31/1000</f>
        <v>0</v>
      </c>
    </row>
    <row r="22" spans="1:15" x14ac:dyDescent="0.25">
      <c r="A22" s="14" t="s">
        <v>217</v>
      </c>
      <c r="B22" s="18" t="str">
        <f>'Strip Components cost'!A50</f>
        <v>PocoFoam-Petal</v>
      </c>
      <c r="C22">
        <f>'Strip Components cost'!F50</f>
        <v>213.44</v>
      </c>
      <c r="D22" s="67">
        <v>0</v>
      </c>
      <c r="E22" s="118">
        <f>D22*'Strip Calculations of Size'!C25</f>
        <v>0</v>
      </c>
      <c r="F22" s="11">
        <f>'Strip Yields + Preproduction'!D4*'Strip Yields + Preproduction'!B29</f>
        <v>1.29</v>
      </c>
      <c r="G22" s="62">
        <f t="shared" si="0"/>
        <v>0</v>
      </c>
      <c r="H22" s="38">
        <v>0</v>
      </c>
      <c r="I22" s="38">
        <v>105.7</v>
      </c>
      <c r="J22" s="38">
        <v>105.7</v>
      </c>
      <c r="K22" s="8"/>
      <c r="L22" s="14">
        <v>2.6</v>
      </c>
      <c r="M22" s="14" t="s">
        <v>164</v>
      </c>
      <c r="N22" s="33">
        <f>G34/1000</f>
        <v>0</v>
      </c>
    </row>
    <row r="23" spans="1:15" x14ac:dyDescent="0.25">
      <c r="A23" s="14" t="s">
        <v>218</v>
      </c>
      <c r="B23" s="18" t="str">
        <f>'Strip Components cost'!A52</f>
        <v>Petal Core Assembly in Industry</v>
      </c>
      <c r="C23">
        <f>'Strip Components cost'!F52</f>
        <v>1968.01</v>
      </c>
      <c r="D23" s="67">
        <v>0</v>
      </c>
      <c r="E23" s="118">
        <f>D23*'Strip Calculations of Size'!C26</f>
        <v>0</v>
      </c>
      <c r="F23" s="11">
        <f>'Strip Yields + Preproduction'!D4*'Strip Yields + Preproduction'!B29</f>
        <v>1.29</v>
      </c>
      <c r="G23" s="62">
        <f t="shared" si="0"/>
        <v>0</v>
      </c>
      <c r="H23" s="38">
        <v>0</v>
      </c>
      <c r="I23" s="38">
        <v>974.9</v>
      </c>
      <c r="J23" s="38">
        <v>974.9</v>
      </c>
      <c r="K23" s="8"/>
      <c r="L23" s="14">
        <v>2.7</v>
      </c>
      <c r="M23" s="14" t="s">
        <v>163</v>
      </c>
      <c r="N23" s="33">
        <f>G35/1000</f>
        <v>0</v>
      </c>
    </row>
    <row r="24" spans="1:15" x14ac:dyDescent="0.25">
      <c r="A24" s="14" t="s">
        <v>199</v>
      </c>
      <c r="B24" s="18" t="str">
        <f>'Strip Components cost'!A25</f>
        <v>PCB for bus termination</v>
      </c>
      <c r="C24">
        <f>'Strip Components cost'!F25</f>
        <v>16.61</v>
      </c>
      <c r="D24" s="67">
        <v>0</v>
      </c>
      <c r="E24" s="118">
        <f>D24*'Strip Calculations of Size'!C27</f>
        <v>0</v>
      </c>
      <c r="F24" s="11">
        <f>'Strip Yields + Preproduction'!E4*'Strip Yields + Preproduction'!B29</f>
        <v>1.224</v>
      </c>
      <c r="G24" s="62">
        <f>C24*E24*F24/1000</f>
        <v>0</v>
      </c>
      <c r="H24" s="38">
        <v>15.9</v>
      </c>
      <c r="I24" s="38">
        <v>15.6</v>
      </c>
      <c r="J24" s="38">
        <v>31.6</v>
      </c>
      <c r="K24" s="8"/>
      <c r="M24" s="14" t="s">
        <v>178</v>
      </c>
      <c r="N24" s="33">
        <f>G38/1000</f>
        <v>0</v>
      </c>
    </row>
    <row r="25" spans="1:15" x14ac:dyDescent="0.25">
      <c r="A25" s="14" t="s">
        <v>200</v>
      </c>
      <c r="B25" s="18" t="str">
        <f>'Strip Components cost'!A29</f>
        <v>Power board stuffed</v>
      </c>
      <c r="C25">
        <f>'Strip Components cost'!F29</f>
        <v>46</v>
      </c>
      <c r="D25" s="67">
        <v>0</v>
      </c>
      <c r="E25" s="118">
        <f>D25*'Strip Calculations of Size'!C28</f>
        <v>0</v>
      </c>
      <c r="F25" s="11">
        <f>'Strip Yields + Preproduction'!E4*'Strip Yields + Preproduction'!B29</f>
        <v>1.224</v>
      </c>
      <c r="G25" s="62">
        <f t="shared" si="0"/>
        <v>0</v>
      </c>
      <c r="H25" s="38">
        <v>617.79999999999995</v>
      </c>
      <c r="I25" s="38">
        <v>302.89999999999998</v>
      </c>
      <c r="J25" s="38">
        <v>920.7</v>
      </c>
      <c r="K25" s="8"/>
      <c r="M25" s="14" t="s">
        <v>182</v>
      </c>
      <c r="N25" s="33">
        <f>G36/1000</f>
        <v>0</v>
      </c>
    </row>
    <row r="26" spans="1:15" x14ac:dyDescent="0.25">
      <c r="A26" s="14" t="s">
        <v>201</v>
      </c>
      <c r="B26" s="18" t="str">
        <f>'Strip Components cost'!A9</f>
        <v xml:space="preserve">Power Chip cost </v>
      </c>
      <c r="C26">
        <f>'Strip Components cost'!F9</f>
        <v>2.6128</v>
      </c>
      <c r="D26" s="67">
        <v>0</v>
      </c>
      <c r="E26" s="118">
        <f>D26*'Strip Calculations of Size'!C29</f>
        <v>0</v>
      </c>
      <c r="F26" s="11">
        <f>'Strip Yields + Preproduction'!H6*'Strip Yields + Preproduction'!B29</f>
        <v>1.4119999999999999</v>
      </c>
      <c r="G26" s="62">
        <f t="shared" si="0"/>
        <v>0</v>
      </c>
      <c r="H26" s="38">
        <v>40.5</v>
      </c>
      <c r="I26" s="38">
        <v>19.8</v>
      </c>
      <c r="J26" s="38">
        <v>60.3</v>
      </c>
      <c r="K26" s="8"/>
      <c r="M26" s="14" t="s">
        <v>181</v>
      </c>
      <c r="N26" s="33">
        <f>G37/1000</f>
        <v>0</v>
      </c>
      <c r="O26" s="8"/>
    </row>
    <row r="27" spans="1:15" x14ac:dyDescent="0.25">
      <c r="A27" s="14" t="s">
        <v>203</v>
      </c>
      <c r="B27" s="18" t="str">
        <f>'Strip Components cost'!A32</f>
        <v>EOS board, SMD stuffed (at least 6 layers)</v>
      </c>
      <c r="C27">
        <f>'Strip Components cost'!F32</f>
        <v>726</v>
      </c>
      <c r="D27" s="67">
        <v>0</v>
      </c>
      <c r="E27" s="118">
        <f>D27*'Strip Calculations of Size'!C30</f>
        <v>0</v>
      </c>
      <c r="F27" s="11">
        <f>'Strip Yields + Preproduction'!E4*'Strip Yields + Preproduction'!B29</f>
        <v>1.224</v>
      </c>
      <c r="G27" s="62">
        <f t="shared" si="0"/>
        <v>0</v>
      </c>
      <c r="H27" s="38">
        <v>696.5</v>
      </c>
      <c r="I27" s="38">
        <v>682.7</v>
      </c>
      <c r="J27" s="38">
        <v>1379.1</v>
      </c>
      <c r="K27" s="8"/>
      <c r="M27" t="s">
        <v>172</v>
      </c>
      <c r="N27" s="33">
        <f>SUM(N3:N26)</f>
        <v>0</v>
      </c>
    </row>
    <row r="28" spans="1:15" x14ac:dyDescent="0.25">
      <c r="A28" s="14" t="s">
        <v>204</v>
      </c>
      <c r="B28" s="18" t="str">
        <f>'Strip Components cost'!A33</f>
        <v>Versatile Link</v>
      </c>
      <c r="C28">
        <f>'Strip Components cost'!F33</f>
        <v>200</v>
      </c>
      <c r="D28" s="67">
        <v>0</v>
      </c>
      <c r="E28" s="118">
        <f>D28*'Strip Calculations of Size'!C31</f>
        <v>0</v>
      </c>
      <c r="F28" s="11">
        <f>'Strip Yields + Preproduction'!E4*'Strip Yields + Preproduction'!B29</f>
        <v>1.224</v>
      </c>
      <c r="G28" s="62">
        <f t="shared" si="0"/>
        <v>0</v>
      </c>
      <c r="H28" s="38">
        <v>450.4</v>
      </c>
      <c r="I28" s="38">
        <v>376</v>
      </c>
      <c r="J28" s="38">
        <v>826.4</v>
      </c>
      <c r="K28" s="8"/>
    </row>
    <row r="29" spans="1:15" x14ac:dyDescent="0.25">
      <c r="A29" s="14" t="s">
        <v>205</v>
      </c>
      <c r="B29" s="18" t="str">
        <f>'Strip Components cost'!A34</f>
        <v>GBT</v>
      </c>
      <c r="C29">
        <f>'Strip Components cost'!F34</f>
        <v>44</v>
      </c>
      <c r="D29" s="67">
        <v>0</v>
      </c>
      <c r="E29" s="118">
        <f>D29*'Strip Calculations of Size'!C32</f>
        <v>0</v>
      </c>
      <c r="F29" s="11">
        <f>'Strip Yields + Preproduction'!E4*'Strip Yields + Preproduction'!B29</f>
        <v>1.224</v>
      </c>
      <c r="G29" s="62">
        <f t="shared" si="0"/>
        <v>0</v>
      </c>
      <c r="H29" s="38">
        <v>42.2</v>
      </c>
      <c r="I29" s="38">
        <v>41.4</v>
      </c>
      <c r="J29" s="38">
        <v>83.6</v>
      </c>
      <c r="K29" s="8"/>
      <c r="M29" s="14"/>
    </row>
    <row r="30" spans="1:15" x14ac:dyDescent="0.25">
      <c r="A30" s="14" t="s">
        <v>206</v>
      </c>
      <c r="B30" s="18" t="str">
        <f>'Strip Components cost'!A35</f>
        <v>GBT SCA</v>
      </c>
      <c r="C30">
        <f>'Strip Components cost'!F35</f>
        <v>33</v>
      </c>
      <c r="D30" s="67">
        <v>0</v>
      </c>
      <c r="E30" s="118">
        <f>D30*'Strip Calculations of Size'!C33</f>
        <v>0</v>
      </c>
      <c r="F30" s="11">
        <f>'Strip Yields + Preproduction'!E4*'Strip Yields + Preproduction'!B29</f>
        <v>1.224</v>
      </c>
      <c r="G30" s="62">
        <f t="shared" si="0"/>
        <v>0</v>
      </c>
      <c r="H30" s="38">
        <v>31.7</v>
      </c>
      <c r="I30" s="38">
        <v>31</v>
      </c>
      <c r="J30" s="38">
        <v>62.7</v>
      </c>
      <c r="K30" s="8"/>
      <c r="M30" s="14"/>
    </row>
    <row r="31" spans="1:15" x14ac:dyDescent="0.25">
      <c r="A31" s="14" t="s">
        <v>202</v>
      </c>
      <c r="B31" s="18" t="str">
        <f>'Strip Components cost'!A28</f>
        <v>HV switches/controller</v>
      </c>
      <c r="C31">
        <f>'Strip Components cost'!F28</f>
        <v>5</v>
      </c>
      <c r="D31" s="67">
        <v>0</v>
      </c>
      <c r="E31" s="118">
        <f>D31*'Strip Calculations of Size'!C34</f>
        <v>0</v>
      </c>
      <c r="F31" s="11">
        <f>'Strip Yields + Preproduction'!E4*'Strip Yields + Preproduction'!B29</f>
        <v>1.224</v>
      </c>
      <c r="G31" s="62">
        <f t="shared" si="0"/>
        <v>0</v>
      </c>
      <c r="H31" s="38">
        <v>67.099999999999994</v>
      </c>
      <c r="I31" s="38">
        <v>32.9</v>
      </c>
      <c r="J31" s="38">
        <v>100.1</v>
      </c>
      <c r="K31" s="8"/>
      <c r="M31" s="14"/>
    </row>
    <row r="32" spans="1:15" x14ac:dyDescent="0.25">
      <c r="A32" s="14" t="s">
        <v>219</v>
      </c>
      <c r="B32" s="18" t="str">
        <f>'Strip Components cost'!A55</f>
        <v>DAQ</v>
      </c>
      <c r="C32">
        <f>'Strip Components cost'!F55</f>
        <v>0</v>
      </c>
      <c r="D32" s="67">
        <v>0</v>
      </c>
      <c r="E32" s="65">
        <f>D32*'Strip Calculations of Size'!C35</f>
        <v>0</v>
      </c>
      <c r="F32" s="11">
        <v>1</v>
      </c>
      <c r="G32" s="62">
        <f t="shared" si="0"/>
        <v>0</v>
      </c>
      <c r="H32" s="38">
        <v>0</v>
      </c>
      <c r="I32" s="38">
        <v>0</v>
      </c>
      <c r="J32" s="38">
        <v>0</v>
      </c>
      <c r="K32" s="8"/>
      <c r="M32" s="14"/>
    </row>
    <row r="33" spans="1:14" x14ac:dyDescent="0.25">
      <c r="A33" s="14" t="s">
        <v>220</v>
      </c>
      <c r="B33" s="18" t="str">
        <f>'Strip Components cost'!A56</f>
        <v>DCS</v>
      </c>
      <c r="C33">
        <f>'Strip Components cost'!F56</f>
        <v>500000</v>
      </c>
      <c r="D33" s="67">
        <v>0</v>
      </c>
      <c r="E33" s="120">
        <f>D33*'Strip Calculations of Size'!C36</f>
        <v>0</v>
      </c>
      <c r="F33" s="11">
        <v>1</v>
      </c>
      <c r="G33" s="62">
        <f t="shared" si="0"/>
        <v>0</v>
      </c>
      <c r="H33" s="38">
        <v>315</v>
      </c>
      <c r="I33" s="38">
        <v>185</v>
      </c>
      <c r="J33" s="38">
        <v>500</v>
      </c>
      <c r="K33" s="8"/>
      <c r="M33" s="14"/>
      <c r="N33" s="14"/>
    </row>
    <row r="34" spans="1:14" x14ac:dyDescent="0.25">
      <c r="A34" s="14" t="s">
        <v>221</v>
      </c>
      <c r="B34" s="18" t="str">
        <f>'Strip Components cost'!A57</f>
        <v>LV supply per EOS card, 20 V, 10 A</v>
      </c>
      <c r="C34">
        <f>'Strip Components cost'!F57</f>
        <v>652.19000000000005</v>
      </c>
      <c r="D34" s="67">
        <v>0</v>
      </c>
      <c r="E34" s="118">
        <f>D34*'Strip Calculations of Size'!C37</f>
        <v>0</v>
      </c>
      <c r="F34" s="11">
        <v>1</v>
      </c>
      <c r="G34" s="62">
        <f t="shared" si="0"/>
        <v>0</v>
      </c>
      <c r="H34" s="38">
        <v>511.2</v>
      </c>
      <c r="I34" s="38">
        <v>501</v>
      </c>
      <c r="J34" s="38">
        <v>1012.2</v>
      </c>
      <c r="K34" s="8"/>
      <c r="M34" s="14"/>
    </row>
    <row r="35" spans="1:14" ht="26.4" x14ac:dyDescent="0.25">
      <c r="A35" s="14" t="s">
        <v>222</v>
      </c>
      <c r="B35" s="30" t="str">
        <f>'Strip Components cost'!A59</f>
        <v>HV supply 12 sensor , with multplexing, 500 V, 40 mA, crate costs included</v>
      </c>
      <c r="C35">
        <f>'Strip Components cost'!F59</f>
        <v>1464.1</v>
      </c>
      <c r="D35" s="67">
        <v>0</v>
      </c>
      <c r="E35" s="118">
        <f>D35*'Strip Calculations of Size'!C38</f>
        <v>0</v>
      </c>
      <c r="F35" s="11">
        <v>1</v>
      </c>
      <c r="G35" s="62">
        <f t="shared" si="0"/>
        <v>0</v>
      </c>
      <c r="H35" s="38">
        <v>1147.5</v>
      </c>
      <c r="I35" s="38">
        <v>1124.8</v>
      </c>
      <c r="J35" s="38">
        <v>2272.3000000000002</v>
      </c>
      <c r="K35" s="8"/>
      <c r="M35" s="14"/>
    </row>
    <row r="36" spans="1:14" x14ac:dyDescent="0.25">
      <c r="B36" s="31" t="str">
        <f>'Strip Components cost'!A60</f>
        <v>Global supports per sensor area (m2)</v>
      </c>
      <c r="C36">
        <f>'Strip Components cost'!F60</f>
        <v>44390</v>
      </c>
      <c r="D36" s="67">
        <v>0</v>
      </c>
      <c r="E36" s="119">
        <f>D36*'Strip Calculations of Size'!C39</f>
        <v>0</v>
      </c>
      <c r="F36" s="11">
        <v>1</v>
      </c>
      <c r="G36" s="62">
        <f t="shared" ref="G36:G38" si="1">C36*E36*F36/1000</f>
        <v>0</v>
      </c>
      <c r="H36" s="38">
        <v>4659.3999999999996</v>
      </c>
      <c r="I36" s="38">
        <v>2678.2</v>
      </c>
      <c r="J36" s="38">
        <v>7337.7</v>
      </c>
      <c r="K36" s="8"/>
      <c r="L36" s="9"/>
      <c r="M36" s="9"/>
    </row>
    <row r="37" spans="1:14" x14ac:dyDescent="0.25">
      <c r="B37" s="31" t="str">
        <f>'Strip Components cost'!A61</f>
        <v>Services per sensor area (m2)</v>
      </c>
      <c r="C37">
        <f>'Strip Components cost'!F61</f>
        <v>28070.174999999999</v>
      </c>
      <c r="D37" s="67">
        <v>0</v>
      </c>
      <c r="E37" s="119">
        <f>D37*'Strip Calculations of Size'!C40</f>
        <v>0</v>
      </c>
      <c r="F37" s="11">
        <v>1</v>
      </c>
      <c r="G37" s="62">
        <f>C37*E37*F37/1000</f>
        <v>0</v>
      </c>
      <c r="H37" s="38">
        <v>2946.4</v>
      </c>
      <c r="I37" s="38">
        <v>1693.6</v>
      </c>
      <c r="J37" s="38">
        <v>4640</v>
      </c>
      <c r="K37" s="8"/>
      <c r="L37" s="9"/>
    </row>
    <row r="38" spans="1:14" ht="26.4" x14ac:dyDescent="0.25">
      <c r="B38" s="31" t="str">
        <f>'Strip Components cost'!A62</f>
        <v>Core Jigging (Modules, local supports, global supports)</v>
      </c>
      <c r="C38">
        <f>'Strip Components cost'!F62</f>
        <v>1000000</v>
      </c>
      <c r="D38" s="67">
        <v>0</v>
      </c>
      <c r="E38" s="120">
        <f>D38*'Strip Calculations of Size'!C41</f>
        <v>0</v>
      </c>
      <c r="F38" s="11">
        <v>1</v>
      </c>
      <c r="G38" s="62">
        <f t="shared" si="1"/>
        <v>0</v>
      </c>
      <c r="H38" s="38">
        <v>630</v>
      </c>
      <c r="I38" s="38">
        <v>370</v>
      </c>
      <c r="J38" s="38">
        <v>1000</v>
      </c>
      <c r="K38" s="8"/>
      <c r="L38" s="9"/>
    </row>
    <row r="39" spans="1:14" x14ac:dyDescent="0.25">
      <c r="B39" s="9"/>
      <c r="C39" s="8"/>
      <c r="D39" s="8"/>
      <c r="E39" s="9"/>
      <c r="F39" s="68" t="s">
        <v>361</v>
      </c>
      <c r="G39" s="62">
        <f>SUM(G2:G38)</f>
        <v>0</v>
      </c>
      <c r="H39" s="13">
        <v>37366.400000000001</v>
      </c>
      <c r="I39" s="13">
        <v>25190.9</v>
      </c>
      <c r="J39" s="38">
        <v>62557.7</v>
      </c>
      <c r="K39" s="8"/>
      <c r="L39" s="8"/>
      <c r="M39" s="8"/>
    </row>
    <row r="40" spans="1:14" x14ac:dyDescent="0.25">
      <c r="A40" s="15"/>
      <c r="B40" s="15"/>
      <c r="C40" s="15"/>
      <c r="D40" s="15"/>
      <c r="E40" s="15"/>
      <c r="F40" s="22" t="s">
        <v>362</v>
      </c>
      <c r="G40" s="69">
        <v>0</v>
      </c>
      <c r="H40" s="15"/>
      <c r="I40" s="15"/>
      <c r="J40" s="15"/>
      <c r="K40" s="15"/>
      <c r="L40" s="15"/>
      <c r="M40" s="15"/>
      <c r="N40" s="15"/>
    </row>
    <row r="41" spans="1:14" x14ac:dyDescent="0.25">
      <c r="A41" s="15"/>
      <c r="B41" s="15"/>
      <c r="C41" s="15"/>
      <c r="D41" s="15"/>
      <c r="E41" s="15"/>
      <c r="F41" s="22" t="s">
        <v>363</v>
      </c>
      <c r="G41" s="62">
        <f>SUM(G39:G40)</f>
        <v>0</v>
      </c>
      <c r="H41" s="15"/>
      <c r="I41" s="15"/>
      <c r="J41" s="15"/>
      <c r="K41" s="15"/>
      <c r="L41" s="15"/>
      <c r="M41" s="15"/>
      <c r="N41" s="15"/>
    </row>
    <row r="42" spans="1:14" x14ac:dyDescent="0.25">
      <c r="A42" s="15"/>
      <c r="B42" s="15"/>
      <c r="C42" s="15"/>
      <c r="D42" s="15"/>
      <c r="E42" s="15"/>
      <c r="F42" s="15"/>
      <c r="G42" s="15"/>
      <c r="H42" s="15"/>
      <c r="I42" s="15"/>
      <c r="J42" s="15"/>
      <c r="K42" s="15"/>
      <c r="L42" s="15"/>
      <c r="M42" s="15"/>
      <c r="N42" s="15"/>
    </row>
    <row r="43" spans="1:14" x14ac:dyDescent="0.25">
      <c r="A43" s="15"/>
      <c r="B43" s="15"/>
      <c r="C43" s="15"/>
      <c r="D43" s="15"/>
      <c r="E43" s="15"/>
      <c r="F43" s="15"/>
      <c r="G43" s="15"/>
      <c r="H43" s="15"/>
      <c r="I43" s="15"/>
      <c r="J43" s="15"/>
      <c r="K43" s="15"/>
      <c r="L43" s="15"/>
      <c r="M43" s="15"/>
      <c r="N43" s="15"/>
    </row>
    <row r="44" spans="1:14" x14ac:dyDescent="0.25">
      <c r="A44" s="15"/>
      <c r="B44" s="15"/>
      <c r="C44" s="15"/>
      <c r="D44" s="15"/>
      <c r="E44" s="15"/>
      <c r="F44" s="15"/>
      <c r="G44" s="15"/>
      <c r="H44" s="15"/>
      <c r="I44" s="15"/>
      <c r="J44" s="15"/>
      <c r="K44" s="15"/>
      <c r="L44" s="15"/>
      <c r="M44" s="15"/>
      <c r="N44" s="15"/>
    </row>
    <row r="45" spans="1:14" x14ac:dyDescent="0.25">
      <c r="F45" t="s">
        <v>16</v>
      </c>
      <c r="M45" t="s">
        <v>16</v>
      </c>
      <c r="N45" t="s">
        <v>16</v>
      </c>
    </row>
    <row r="50" spans="7:7" x14ac:dyDescent="0.25">
      <c r="G50" t="s">
        <v>16</v>
      </c>
    </row>
    <row r="51" spans="7:7" x14ac:dyDescent="0.25">
      <c r="G51" t="s">
        <v>16</v>
      </c>
    </row>
    <row r="52" spans="7:7" x14ac:dyDescent="0.25">
      <c r="G52" t="s">
        <v>16</v>
      </c>
    </row>
  </sheetData>
  <phoneticPr fontId="5"/>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zoomScale="115" zoomScaleNormal="115" zoomScalePageLayoutView="125" workbookViewId="0"/>
  </sheetViews>
  <sheetFormatPr defaultColWidth="9.109375" defaultRowHeight="14.4" x14ac:dyDescent="0.3"/>
  <cols>
    <col min="1" max="1" width="17" style="42" customWidth="1"/>
    <col min="2" max="2" width="32.44140625" style="42" customWidth="1"/>
    <col min="3" max="4" width="9.6640625" style="42" customWidth="1"/>
    <col min="5" max="10" width="10.6640625" style="42" customWidth="1"/>
    <col min="11" max="11" width="13.77734375" style="42" customWidth="1"/>
    <col min="12" max="12" width="50.33203125" style="42" customWidth="1"/>
    <col min="13" max="13" width="13.109375" style="42" customWidth="1"/>
    <col min="14" max="14" width="35.6640625" style="42" customWidth="1"/>
    <col min="15" max="16384" width="9.109375" style="42"/>
  </cols>
  <sheetData>
    <row r="1" spans="1:12" ht="14.55" customHeight="1" x14ac:dyDescent="0.3">
      <c r="A1" s="85" t="s">
        <v>0</v>
      </c>
      <c r="B1" s="86"/>
      <c r="C1" s="78" t="s">
        <v>288</v>
      </c>
      <c r="D1" s="78" t="s">
        <v>289</v>
      </c>
      <c r="E1" s="78"/>
      <c r="F1" s="78"/>
      <c r="G1" s="78"/>
      <c r="H1" s="78"/>
      <c r="I1" s="78"/>
      <c r="J1" s="78"/>
      <c r="K1" s="78" t="s">
        <v>290</v>
      </c>
      <c r="L1" s="79" t="s">
        <v>291</v>
      </c>
    </row>
    <row r="2" spans="1:12" x14ac:dyDescent="0.3">
      <c r="A2" s="85"/>
      <c r="B2" s="86"/>
      <c r="C2" s="78"/>
      <c r="D2" s="46" t="s">
        <v>292</v>
      </c>
      <c r="E2" s="46" t="s">
        <v>293</v>
      </c>
      <c r="F2" s="80" t="s">
        <v>372</v>
      </c>
      <c r="G2" s="46" t="s">
        <v>294</v>
      </c>
      <c r="H2" s="80" t="s">
        <v>372</v>
      </c>
      <c r="I2" s="46" t="s">
        <v>390</v>
      </c>
      <c r="J2" s="80" t="s">
        <v>372</v>
      </c>
      <c r="K2" s="78"/>
      <c r="L2" s="78"/>
    </row>
    <row r="3" spans="1:12" ht="27" x14ac:dyDescent="0.3">
      <c r="A3" s="81" t="s">
        <v>176</v>
      </c>
      <c r="B3" s="82" t="s">
        <v>18</v>
      </c>
      <c r="C3" s="70">
        <v>0.16</v>
      </c>
      <c r="D3" s="83">
        <f>E3+G3+I3</f>
        <v>7870</v>
      </c>
      <c r="E3" s="45">
        <f>ROUNDUP((1430+140),2)</f>
        <v>1570</v>
      </c>
      <c r="F3" s="84">
        <f t="shared" ref="F3:F14" si="0">ROUNDUP(100*E3/$D3,0)</f>
        <v>20</v>
      </c>
      <c r="G3" s="45">
        <f>ROUNDUP((3310+140),2)</f>
        <v>3450</v>
      </c>
      <c r="H3" s="84">
        <f>100-F3-J3</f>
        <v>43</v>
      </c>
      <c r="I3" s="45">
        <f>ROUNDUP((2780+70),2)</f>
        <v>2850</v>
      </c>
      <c r="J3" s="87">
        <f t="shared" ref="J3:J14" si="1">ROUNDUP(100*I3/$D3,0)</f>
        <v>37</v>
      </c>
      <c r="K3" s="89">
        <f>D3*C3</f>
        <v>1259.2</v>
      </c>
      <c r="L3" s="88" t="s">
        <v>391</v>
      </c>
    </row>
    <row r="4" spans="1:12" ht="15.6" x14ac:dyDescent="0.3">
      <c r="A4" s="81" t="s">
        <v>175</v>
      </c>
      <c r="B4" s="82" t="s">
        <v>295</v>
      </c>
      <c r="C4" s="70">
        <v>7.0000000000000007E-2</v>
      </c>
      <c r="D4" s="83">
        <f t="shared" ref="D4:D14" si="2">E4+G4+I4</f>
        <v>3120</v>
      </c>
      <c r="E4" s="45">
        <f>ROUNDUP((360+870/3),2)</f>
        <v>650</v>
      </c>
      <c r="F4" s="84">
        <f t="shared" si="0"/>
        <v>21</v>
      </c>
      <c r="G4" s="45">
        <f>ROUNDUP((1110+870/3),2)</f>
        <v>1400</v>
      </c>
      <c r="H4" s="84">
        <f t="shared" ref="H4:H14" si="3">100-F4-J4</f>
        <v>44</v>
      </c>
      <c r="I4" s="45">
        <f>ROUNDUP((780+870/3),2)</f>
        <v>1070</v>
      </c>
      <c r="J4" s="87">
        <f t="shared" si="1"/>
        <v>35</v>
      </c>
      <c r="K4" s="89">
        <f t="shared" ref="K4:K14" si="4">D4*C4</f>
        <v>218.4</v>
      </c>
      <c r="L4" s="88"/>
    </row>
    <row r="5" spans="1:12" ht="15.6" x14ac:dyDescent="0.3">
      <c r="A5" s="81" t="s">
        <v>296</v>
      </c>
      <c r="B5" s="82" t="s">
        <v>297</v>
      </c>
      <c r="C5" s="70">
        <v>0.16</v>
      </c>
      <c r="D5" s="83">
        <f t="shared" si="2"/>
        <v>8980</v>
      </c>
      <c r="E5" s="45">
        <f>ROUNDUP((1500),2)</f>
        <v>1500</v>
      </c>
      <c r="F5" s="121">
        <f t="shared" si="0"/>
        <v>17</v>
      </c>
      <c r="G5" s="45">
        <f>ROUNDUP((4400),2)</f>
        <v>4400</v>
      </c>
      <c r="H5" s="84">
        <f t="shared" si="3"/>
        <v>48</v>
      </c>
      <c r="I5" s="45">
        <f>ROUNDUP((3080),2)</f>
        <v>3080</v>
      </c>
      <c r="J5" s="87">
        <f t="shared" si="1"/>
        <v>35</v>
      </c>
      <c r="K5" s="89">
        <f t="shared" si="4"/>
        <v>1436.8</v>
      </c>
      <c r="L5" s="88" t="s">
        <v>392</v>
      </c>
    </row>
    <row r="6" spans="1:12" ht="15.6" x14ac:dyDescent="0.3">
      <c r="A6" s="81" t="s">
        <v>298</v>
      </c>
      <c r="B6" s="82" t="s">
        <v>299</v>
      </c>
      <c r="C6" s="70">
        <v>0.16</v>
      </c>
      <c r="D6" s="83">
        <f t="shared" si="2"/>
        <v>1110</v>
      </c>
      <c r="E6" s="45">
        <f>ROUNDUP((180),2)</f>
        <v>180</v>
      </c>
      <c r="F6" s="121">
        <f t="shared" si="0"/>
        <v>17</v>
      </c>
      <c r="G6" s="45">
        <f>ROUNDUP((550),2)</f>
        <v>550</v>
      </c>
      <c r="H6" s="84">
        <f t="shared" si="3"/>
        <v>48</v>
      </c>
      <c r="I6" s="45">
        <f>ROUNDUP((380),2)</f>
        <v>380</v>
      </c>
      <c r="J6" s="87">
        <f t="shared" si="1"/>
        <v>35</v>
      </c>
      <c r="K6" s="89">
        <f t="shared" si="4"/>
        <v>177.6</v>
      </c>
      <c r="L6" s="88"/>
    </row>
    <row r="7" spans="1:12" ht="15.6" x14ac:dyDescent="0.3">
      <c r="A7" s="81" t="s">
        <v>300</v>
      </c>
      <c r="B7" s="82" t="s">
        <v>301</v>
      </c>
      <c r="C7" s="70">
        <v>0.2</v>
      </c>
      <c r="D7" s="83">
        <f t="shared" si="2"/>
        <v>300</v>
      </c>
      <c r="E7" s="45">
        <f>ROUNDUP((60),2)</f>
        <v>60</v>
      </c>
      <c r="F7" s="121">
        <f t="shared" si="0"/>
        <v>20</v>
      </c>
      <c r="G7" s="45">
        <f>ROUNDUP((140),2)</f>
        <v>140</v>
      </c>
      <c r="H7" s="84">
        <f t="shared" si="3"/>
        <v>46</v>
      </c>
      <c r="I7" s="45">
        <f>ROUNDUP((100),2)</f>
        <v>100</v>
      </c>
      <c r="J7" s="87">
        <f t="shared" si="1"/>
        <v>34</v>
      </c>
      <c r="K7" s="89">
        <f t="shared" si="4"/>
        <v>60</v>
      </c>
      <c r="L7" s="88"/>
    </row>
    <row r="8" spans="1:12" ht="15.6" x14ac:dyDescent="0.3">
      <c r="A8" s="81" t="s">
        <v>302</v>
      </c>
      <c r="B8" s="82" t="s">
        <v>303</v>
      </c>
      <c r="C8" s="70"/>
      <c r="D8" s="83">
        <f t="shared" si="2"/>
        <v>3620</v>
      </c>
      <c r="E8" s="45">
        <f>ROUNDUP((800),2)</f>
        <v>800</v>
      </c>
      <c r="F8" s="121">
        <f t="shared" si="0"/>
        <v>23</v>
      </c>
      <c r="G8" s="45">
        <f>ROUNDUP((1920),2)</f>
        <v>1920</v>
      </c>
      <c r="H8" s="84">
        <f t="shared" si="3"/>
        <v>52</v>
      </c>
      <c r="I8" s="45">
        <f>ROUNDUP((900),2)</f>
        <v>900</v>
      </c>
      <c r="J8" s="87">
        <f t="shared" si="1"/>
        <v>25</v>
      </c>
      <c r="K8" s="89">
        <f t="shared" si="4"/>
        <v>0</v>
      </c>
      <c r="L8" s="88"/>
    </row>
    <row r="9" spans="1:12" ht="15.6" x14ac:dyDescent="0.3">
      <c r="A9" s="81" t="s">
        <v>304</v>
      </c>
      <c r="B9" s="82" t="s">
        <v>305</v>
      </c>
      <c r="C9" s="70"/>
      <c r="D9" s="83">
        <f t="shared" si="2"/>
        <v>1170</v>
      </c>
      <c r="E9" s="45">
        <f>ROUNDUP((540),2)</f>
        <v>540</v>
      </c>
      <c r="F9" s="121">
        <f t="shared" si="0"/>
        <v>47</v>
      </c>
      <c r="G9" s="45">
        <f>ROUNDUP((400),2)</f>
        <v>400</v>
      </c>
      <c r="H9" s="84">
        <f t="shared" si="3"/>
        <v>33</v>
      </c>
      <c r="I9" s="45">
        <f>ROUNDUP((230),2)</f>
        <v>230</v>
      </c>
      <c r="J9" s="87">
        <f t="shared" si="1"/>
        <v>20</v>
      </c>
      <c r="K9" s="89">
        <f t="shared" si="4"/>
        <v>0</v>
      </c>
      <c r="L9" s="88"/>
    </row>
    <row r="10" spans="1:12" ht="15.6" x14ac:dyDescent="0.3">
      <c r="A10" s="81" t="s">
        <v>306</v>
      </c>
      <c r="B10" s="82" t="s">
        <v>307</v>
      </c>
      <c r="C10" s="70">
        <v>0.09</v>
      </c>
      <c r="D10" s="83">
        <f t="shared" si="2"/>
        <v>5270</v>
      </c>
      <c r="E10" s="45">
        <f>ROUNDUP((400),2)</f>
        <v>400</v>
      </c>
      <c r="F10" s="121">
        <f t="shared" si="0"/>
        <v>8</v>
      </c>
      <c r="G10" s="45">
        <f>ROUNDUP((2970),2)</f>
        <v>2970</v>
      </c>
      <c r="H10" s="84">
        <f t="shared" si="3"/>
        <v>55</v>
      </c>
      <c r="I10" s="45">
        <f>ROUNDUP((1900),2)</f>
        <v>1900</v>
      </c>
      <c r="J10" s="87">
        <f t="shared" si="1"/>
        <v>37</v>
      </c>
      <c r="K10" s="89">
        <f t="shared" si="4"/>
        <v>474.3</v>
      </c>
      <c r="L10" s="88"/>
    </row>
    <row r="11" spans="1:12" ht="15.6" x14ac:dyDescent="0.3">
      <c r="A11" s="81" t="s">
        <v>308</v>
      </c>
      <c r="B11" s="82" t="s">
        <v>309</v>
      </c>
      <c r="C11" s="70">
        <v>0.15</v>
      </c>
      <c r="D11" s="83">
        <f t="shared" si="2"/>
        <v>4970</v>
      </c>
      <c r="E11" s="45">
        <f>ROUNDUP((1120),2)</f>
        <v>1120</v>
      </c>
      <c r="F11" s="121">
        <f t="shared" si="0"/>
        <v>23</v>
      </c>
      <c r="G11" s="45">
        <f>ROUNDUP((2500),2)</f>
        <v>2500</v>
      </c>
      <c r="H11" s="84">
        <f t="shared" si="3"/>
        <v>49</v>
      </c>
      <c r="I11" s="45">
        <f>ROUNDUP((1350),2)</f>
        <v>1350</v>
      </c>
      <c r="J11" s="87">
        <f t="shared" si="1"/>
        <v>28</v>
      </c>
      <c r="K11" s="89">
        <f t="shared" si="4"/>
        <v>745.5</v>
      </c>
      <c r="L11" s="88"/>
    </row>
    <row r="12" spans="1:12" ht="15.6" x14ac:dyDescent="0.3">
      <c r="A12" s="81" t="s">
        <v>310</v>
      </c>
      <c r="B12" s="82" t="s">
        <v>311</v>
      </c>
      <c r="C12" s="70">
        <v>0.16</v>
      </c>
      <c r="D12" s="83">
        <f t="shared" si="2"/>
        <v>1260</v>
      </c>
      <c r="E12" s="45">
        <v>210</v>
      </c>
      <c r="F12" s="84">
        <f t="shared" si="0"/>
        <v>17</v>
      </c>
      <c r="G12" s="45">
        <v>600</v>
      </c>
      <c r="H12" s="84">
        <f t="shared" si="3"/>
        <v>47</v>
      </c>
      <c r="I12" s="45">
        <v>450</v>
      </c>
      <c r="J12" s="87">
        <f t="shared" si="1"/>
        <v>36</v>
      </c>
      <c r="K12" s="89">
        <f t="shared" si="4"/>
        <v>201.6</v>
      </c>
      <c r="L12" s="88"/>
    </row>
    <row r="13" spans="1:12" ht="15.6" x14ac:dyDescent="0.3">
      <c r="A13" s="81" t="s">
        <v>312</v>
      </c>
      <c r="B13" s="82" t="s">
        <v>313</v>
      </c>
      <c r="C13" s="70">
        <v>0.16</v>
      </c>
      <c r="D13" s="83">
        <f t="shared" si="2"/>
        <v>1260</v>
      </c>
      <c r="E13" s="45">
        <v>210</v>
      </c>
      <c r="F13" s="84">
        <f t="shared" si="0"/>
        <v>17</v>
      </c>
      <c r="G13" s="45">
        <v>600</v>
      </c>
      <c r="H13" s="84">
        <f t="shared" si="3"/>
        <v>47</v>
      </c>
      <c r="I13" s="45">
        <v>450</v>
      </c>
      <c r="J13" s="87">
        <f t="shared" si="1"/>
        <v>36</v>
      </c>
      <c r="K13" s="89">
        <f t="shared" si="4"/>
        <v>201.6</v>
      </c>
      <c r="L13" s="88"/>
    </row>
    <row r="14" spans="1:12" ht="15.6" x14ac:dyDescent="0.3">
      <c r="A14" s="81" t="s">
        <v>314</v>
      </c>
      <c r="B14" s="82" t="s">
        <v>315</v>
      </c>
      <c r="C14" s="70">
        <v>0.1</v>
      </c>
      <c r="D14" s="83">
        <f t="shared" si="2"/>
        <v>2100</v>
      </c>
      <c r="E14" s="43">
        <f>ROUNDUP((410),2)</f>
        <v>410</v>
      </c>
      <c r="F14" s="84">
        <f t="shared" si="0"/>
        <v>20</v>
      </c>
      <c r="G14" s="45">
        <f>ROUNDUP((990),2)</f>
        <v>990</v>
      </c>
      <c r="H14" s="84">
        <f t="shared" si="3"/>
        <v>46</v>
      </c>
      <c r="I14" s="43">
        <f>ROUNDUP((700),2)</f>
        <v>700</v>
      </c>
      <c r="J14" s="87">
        <f t="shared" si="1"/>
        <v>34</v>
      </c>
      <c r="K14" s="89">
        <f t="shared" si="4"/>
        <v>210</v>
      </c>
      <c r="L14" s="88"/>
    </row>
    <row r="15" spans="1:12" x14ac:dyDescent="0.3">
      <c r="A15" s="44"/>
      <c r="B15" s="44" t="s">
        <v>289</v>
      </c>
      <c r="C15" s="44"/>
      <c r="D15" s="44">
        <f>SUM(D3:D14)</f>
        <v>41030</v>
      </c>
      <c r="E15" s="44">
        <f>SUM(E3:E14)</f>
        <v>7650</v>
      </c>
      <c r="F15" s="44"/>
      <c r="G15" s="44">
        <f>SUM(G3:G14)</f>
        <v>19920</v>
      </c>
      <c r="H15" s="44"/>
      <c r="I15" s="44">
        <f>SUM(I3:I14)</f>
        <v>13460</v>
      </c>
      <c r="J15" s="44"/>
      <c r="K15" s="90"/>
      <c r="L15"/>
    </row>
    <row r="16" spans="1:12" ht="15.6" x14ac:dyDescent="0.3">
      <c r="A16" s="44"/>
      <c r="B16" s="44" t="s">
        <v>16</v>
      </c>
      <c r="C16" s="44"/>
      <c r="D16" s="44"/>
      <c r="E16" s="44"/>
      <c r="F16" s="44"/>
      <c r="G16" s="44"/>
      <c r="H16" s="124" t="s">
        <v>366</v>
      </c>
      <c r="I16" s="124"/>
      <c r="J16" s="124"/>
      <c r="K16" s="91">
        <f>SUM(K3:K14)</f>
        <v>4985</v>
      </c>
      <c r="L16"/>
    </row>
    <row r="17" spans="1:12" ht="15.6" x14ac:dyDescent="0.3">
      <c r="A17"/>
      <c r="B17"/>
      <c r="C17"/>
      <c r="D17"/>
      <c r="E17"/>
      <c r="F17"/>
      <c r="G17"/>
      <c r="H17" s="124" t="s">
        <v>367</v>
      </c>
      <c r="I17" s="124"/>
      <c r="J17" s="124"/>
      <c r="K17" s="92">
        <v>0</v>
      </c>
      <c r="L17"/>
    </row>
    <row r="18" spans="1:12" ht="15.6" x14ac:dyDescent="0.3">
      <c r="A18"/>
      <c r="B18"/>
      <c r="C18"/>
      <c r="D18"/>
      <c r="E18"/>
      <c r="F18"/>
      <c r="G18"/>
      <c r="H18" s="124" t="s">
        <v>366</v>
      </c>
      <c r="I18" s="124"/>
      <c r="J18" s="124"/>
      <c r="K18" s="93">
        <f>SUM(K16:K17)</f>
        <v>4985</v>
      </c>
      <c r="L18"/>
    </row>
    <row r="20" spans="1:12" ht="19.95" customHeight="1" x14ac:dyDescent="0.3"/>
    <row r="21" spans="1:12" ht="22.2" customHeight="1" x14ac:dyDescent="0.3">
      <c r="A21" s="127" t="s">
        <v>389</v>
      </c>
      <c r="B21" s="128"/>
      <c r="C21" s="128"/>
      <c r="D21" s="128"/>
      <c r="E21" s="128"/>
      <c r="F21" s="128"/>
      <c r="K21" s="122"/>
    </row>
    <row r="22" spans="1:12" x14ac:dyDescent="0.3">
      <c r="A22" s="128"/>
      <c r="B22" s="128"/>
      <c r="C22" s="128"/>
      <c r="D22" s="128"/>
      <c r="E22" s="128"/>
      <c r="F22" s="128"/>
    </row>
    <row r="23" spans="1:12" x14ac:dyDescent="0.3">
      <c r="A23" s="128"/>
      <c r="B23" s="128"/>
      <c r="C23" s="128"/>
      <c r="D23" s="128"/>
      <c r="E23" s="128"/>
      <c r="F23" s="128"/>
    </row>
    <row r="24" spans="1:12" ht="14.55" customHeight="1" x14ac:dyDescent="0.3">
      <c r="A24" s="128"/>
      <c r="B24" s="128"/>
      <c r="C24" s="128"/>
      <c r="D24" s="128"/>
      <c r="E24" s="128"/>
      <c r="F24" s="128"/>
    </row>
    <row r="25" spans="1:12" x14ac:dyDescent="0.3">
      <c r="A25" s="128"/>
      <c r="B25" s="128"/>
      <c r="C25" s="128"/>
      <c r="D25" s="128"/>
      <c r="E25" s="128"/>
      <c r="F25" s="128"/>
    </row>
    <row r="26" spans="1:12" x14ac:dyDescent="0.3">
      <c r="A26" s="128"/>
      <c r="B26" s="128"/>
      <c r="C26" s="128"/>
      <c r="D26" s="128"/>
      <c r="E26" s="128"/>
      <c r="F26" s="128"/>
    </row>
    <row r="27" spans="1:12" x14ac:dyDescent="0.3">
      <c r="A27" s="128"/>
      <c r="B27" s="128"/>
      <c r="C27" s="128"/>
      <c r="D27" s="128"/>
      <c r="E27" s="128"/>
      <c r="F27" s="128"/>
    </row>
    <row r="28" spans="1:12" x14ac:dyDescent="0.3">
      <c r="A28" s="128"/>
      <c r="B28" s="128"/>
      <c r="C28" s="128"/>
      <c r="D28" s="128"/>
      <c r="E28" s="128"/>
      <c r="F28" s="128"/>
    </row>
    <row r="29" spans="1:12" x14ac:dyDescent="0.3">
      <c r="A29" s="128"/>
      <c r="B29" s="128"/>
      <c r="C29" s="128"/>
      <c r="D29" s="128"/>
      <c r="E29" s="128"/>
      <c r="F29" s="128"/>
    </row>
    <row r="30" spans="1:12" x14ac:dyDescent="0.3">
      <c r="A30" s="128"/>
      <c r="B30" s="128"/>
      <c r="C30" s="128"/>
      <c r="D30" s="128"/>
      <c r="E30" s="128"/>
      <c r="F30" s="128"/>
    </row>
    <row r="31" spans="1:12" x14ac:dyDescent="0.3">
      <c r="A31" s="128"/>
      <c r="B31" s="128"/>
      <c r="C31" s="128"/>
      <c r="D31" s="128"/>
      <c r="E31" s="128"/>
      <c r="F31" s="128"/>
    </row>
    <row r="32" spans="1:12" ht="15.6" x14ac:dyDescent="0.3">
      <c r="A32" s="94" t="s">
        <v>373</v>
      </c>
      <c r="B32" s="129" t="s">
        <v>374</v>
      </c>
      <c r="C32" s="125"/>
      <c r="D32" s="125"/>
      <c r="E32" s="125"/>
      <c r="F32" s="126"/>
    </row>
    <row r="33" spans="1:12" ht="15.6" x14ac:dyDescent="0.3">
      <c r="A33" s="94" t="s">
        <v>375</v>
      </c>
      <c r="B33" s="129" t="s">
        <v>376</v>
      </c>
      <c r="C33" s="125"/>
      <c r="D33" s="125"/>
      <c r="E33" s="125"/>
      <c r="F33" s="126"/>
    </row>
    <row r="34" spans="1:12" ht="15.6" x14ac:dyDescent="0.3">
      <c r="A34" s="94" t="s">
        <v>377</v>
      </c>
      <c r="B34" s="125" t="s">
        <v>378</v>
      </c>
      <c r="C34" s="125"/>
      <c r="D34" s="125"/>
      <c r="E34" s="125"/>
      <c r="F34" s="126"/>
    </row>
    <row r="35" spans="1:12" ht="15.6" x14ac:dyDescent="0.3">
      <c r="A35" s="94" t="s">
        <v>379</v>
      </c>
      <c r="B35" s="123" t="s">
        <v>380</v>
      </c>
      <c r="C35" s="123"/>
      <c r="D35" s="123"/>
      <c r="E35" s="123"/>
      <c r="F35" s="123"/>
    </row>
    <row r="36" spans="1:12" ht="15.6" x14ac:dyDescent="0.3">
      <c r="A36" s="94" t="s">
        <v>381</v>
      </c>
      <c r="B36" s="123" t="s">
        <v>382</v>
      </c>
      <c r="C36" s="123"/>
      <c r="D36" s="123"/>
      <c r="E36" s="123"/>
      <c r="F36" s="123"/>
    </row>
    <row r="37" spans="1:12" ht="15.6" x14ac:dyDescent="0.3">
      <c r="A37" s="94" t="s">
        <v>383</v>
      </c>
      <c r="B37" s="123" t="s">
        <v>384</v>
      </c>
      <c r="C37" s="123"/>
      <c r="D37" s="123"/>
      <c r="E37" s="123"/>
      <c r="F37" s="123"/>
    </row>
    <row r="38" spans="1:12" ht="15.6" x14ac:dyDescent="0.3">
      <c r="A38" s="94" t="s">
        <v>385</v>
      </c>
      <c r="B38" s="123" t="s">
        <v>386</v>
      </c>
      <c r="C38" s="123"/>
      <c r="D38" s="123"/>
      <c r="E38" s="123"/>
      <c r="F38" s="123"/>
    </row>
    <row r="39" spans="1:12" ht="15.6" x14ac:dyDescent="0.3">
      <c r="A39" s="94" t="s">
        <v>387</v>
      </c>
      <c r="B39" s="123" t="s">
        <v>388</v>
      </c>
      <c r="C39" s="123"/>
      <c r="D39" s="123"/>
      <c r="E39" s="123"/>
      <c r="F39" s="123"/>
    </row>
    <row r="40" spans="1:12" x14ac:dyDescent="0.3">
      <c r="A40"/>
      <c r="B40"/>
      <c r="C40"/>
      <c r="D40"/>
      <c r="E40"/>
      <c r="F40"/>
    </row>
    <row r="41" spans="1:12" x14ac:dyDescent="0.3">
      <c r="A41"/>
      <c r="B41"/>
      <c r="C41"/>
      <c r="D41"/>
      <c r="E41"/>
      <c r="F41"/>
      <c r="G41"/>
      <c r="H41"/>
      <c r="I41"/>
      <c r="J41"/>
      <c r="K41"/>
      <c r="L41"/>
    </row>
    <row r="42" spans="1:12" ht="14.55" customHeight="1" x14ac:dyDescent="0.3"/>
  </sheetData>
  <mergeCells count="12">
    <mergeCell ref="B39:F39"/>
    <mergeCell ref="H16:J16"/>
    <mergeCell ref="B34:F34"/>
    <mergeCell ref="B35:F35"/>
    <mergeCell ref="B36:F36"/>
    <mergeCell ref="B37:F37"/>
    <mergeCell ref="B38:F38"/>
    <mergeCell ref="H17:J17"/>
    <mergeCell ref="H18:J18"/>
    <mergeCell ref="A21:F31"/>
    <mergeCell ref="B32:F32"/>
    <mergeCell ref="B33:F33"/>
  </mergeCells>
  <conditionalFormatting sqref="B9">
    <cfRule type="duplicateValues" dxfId="2" priority="2"/>
  </conditionalFormatting>
  <conditionalFormatting sqref="B13">
    <cfRule type="duplicateValues" dxfId="1" priority="1"/>
  </conditionalFormatting>
  <conditionalFormatting sqref="B14 B3:B8 B10:B12">
    <cfRule type="duplicateValues" dxfId="0" priority="3"/>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workbookViewId="0">
      <selection activeCell="E9" sqref="E9"/>
    </sheetView>
  </sheetViews>
  <sheetFormatPr defaultColWidth="8.77734375" defaultRowHeight="13.2" x14ac:dyDescent="0.25"/>
  <cols>
    <col min="2" max="2" width="53.77734375" bestFit="1" customWidth="1"/>
    <col min="5" max="5" width="24.6640625" bestFit="1" customWidth="1"/>
  </cols>
  <sheetData>
    <row r="1" spans="1:6" s="56" customFormat="1" ht="17.399999999999999" x14ac:dyDescent="0.3">
      <c r="A1" s="57" t="s">
        <v>316</v>
      </c>
      <c r="B1" s="58" t="s">
        <v>317</v>
      </c>
      <c r="C1" s="56" t="s">
        <v>352</v>
      </c>
      <c r="E1" s="56" t="s">
        <v>364</v>
      </c>
      <c r="F1" s="56" t="s">
        <v>365</v>
      </c>
    </row>
    <row r="2" spans="1:6" s="48" customFormat="1" ht="14.4" thickBot="1" x14ac:dyDescent="0.3">
      <c r="A2" s="47" t="s">
        <v>145</v>
      </c>
      <c r="B2" s="49" t="s">
        <v>318</v>
      </c>
    </row>
    <row r="3" spans="1:6" s="48" customFormat="1" ht="14.4" thickBot="1" x14ac:dyDescent="0.3">
      <c r="A3" s="47" t="s">
        <v>147</v>
      </c>
      <c r="B3" s="49" t="s">
        <v>319</v>
      </c>
      <c r="C3" s="48">
        <v>4000</v>
      </c>
      <c r="E3" s="71"/>
      <c r="F3" s="74">
        <f>C3*E3</f>
        <v>0</v>
      </c>
    </row>
    <row r="4" spans="1:6" s="48" customFormat="1" ht="14.4" thickBot="1" x14ac:dyDescent="0.3">
      <c r="A4" s="47" t="s">
        <v>149</v>
      </c>
      <c r="B4" s="49" t="s">
        <v>354</v>
      </c>
      <c r="C4" s="48">
        <v>2400</v>
      </c>
      <c r="E4" s="71"/>
      <c r="F4" s="74">
        <f>C4*E4</f>
        <v>0</v>
      </c>
    </row>
    <row r="5" spans="1:6" s="48" customFormat="1" ht="13.8" x14ac:dyDescent="0.25">
      <c r="A5" s="47" t="s">
        <v>320</v>
      </c>
      <c r="B5" s="50" t="s">
        <v>321</v>
      </c>
      <c r="C5" s="48">
        <v>0</v>
      </c>
      <c r="E5" s="72"/>
      <c r="F5" s="75"/>
    </row>
    <row r="6" spans="1:6" s="48" customFormat="1" ht="13.8" x14ac:dyDescent="0.25">
      <c r="A6" s="47" t="s">
        <v>322</v>
      </c>
      <c r="B6" s="50" t="s">
        <v>323</v>
      </c>
      <c r="C6" s="48">
        <v>0</v>
      </c>
      <c r="E6" s="72"/>
      <c r="F6" s="75"/>
    </row>
    <row r="7" spans="1:6" s="48" customFormat="1" ht="14.4" thickBot="1" x14ac:dyDescent="0.3">
      <c r="A7" s="47" t="s">
        <v>324</v>
      </c>
      <c r="B7" s="50" t="s">
        <v>325</v>
      </c>
      <c r="C7" s="48">
        <v>0</v>
      </c>
      <c r="E7" s="72"/>
      <c r="F7" s="75"/>
    </row>
    <row r="8" spans="1:6" s="48" customFormat="1" ht="14.4" thickBot="1" x14ac:dyDescent="0.3">
      <c r="A8" s="47" t="s">
        <v>326</v>
      </c>
      <c r="B8" s="50" t="s">
        <v>327</v>
      </c>
      <c r="C8" s="48">
        <v>6300</v>
      </c>
      <c r="E8" s="71">
        <v>0.06</v>
      </c>
      <c r="F8" s="74">
        <f>C8*E8</f>
        <v>378</v>
      </c>
    </row>
    <row r="9" spans="1:6" s="48" customFormat="1" ht="13.8" x14ac:dyDescent="0.25">
      <c r="A9" s="47" t="s">
        <v>328</v>
      </c>
      <c r="B9" s="50" t="s">
        <v>329</v>
      </c>
      <c r="C9" s="48">
        <v>0</v>
      </c>
      <c r="E9" s="72"/>
      <c r="F9" s="75"/>
    </row>
    <row r="10" spans="1:6" s="48" customFormat="1" ht="13.8" x14ac:dyDescent="0.25">
      <c r="A10" s="47" t="s">
        <v>330</v>
      </c>
      <c r="B10" s="50" t="s">
        <v>331</v>
      </c>
      <c r="C10" s="48">
        <v>0</v>
      </c>
      <c r="E10" s="72"/>
      <c r="F10" s="75"/>
    </row>
    <row r="11" spans="1:6" s="56" customFormat="1" ht="18" thickBot="1" x14ac:dyDescent="0.35">
      <c r="A11" s="55">
        <v>2.4</v>
      </c>
      <c r="B11" s="56" t="s">
        <v>332</v>
      </c>
      <c r="E11" s="73"/>
      <c r="F11" s="76"/>
    </row>
    <row r="12" spans="1:6" s="48" customFormat="1" ht="14.4" thickBot="1" x14ac:dyDescent="0.3">
      <c r="A12" s="51" t="s">
        <v>151</v>
      </c>
      <c r="B12" s="54" t="s">
        <v>333</v>
      </c>
      <c r="C12" s="48">
        <v>420</v>
      </c>
      <c r="E12" s="71"/>
      <c r="F12" s="74">
        <f>C12*E12</f>
        <v>0</v>
      </c>
    </row>
    <row r="13" spans="1:6" s="48" customFormat="1" x14ac:dyDescent="0.25">
      <c r="A13" s="52" t="s">
        <v>334</v>
      </c>
      <c r="B13" s="53" t="s">
        <v>335</v>
      </c>
      <c r="E13" s="72"/>
      <c r="F13" s="75"/>
    </row>
    <row r="14" spans="1:6" s="48" customFormat="1" x14ac:dyDescent="0.25">
      <c r="A14" s="52" t="s">
        <v>336</v>
      </c>
      <c r="B14" s="48" t="s">
        <v>337</v>
      </c>
      <c r="E14" s="72"/>
      <c r="F14" s="75"/>
    </row>
    <row r="15" spans="1:6" s="48" customFormat="1" x14ac:dyDescent="0.25">
      <c r="A15" s="52" t="s">
        <v>338</v>
      </c>
      <c r="B15" s="53" t="s">
        <v>339</v>
      </c>
      <c r="E15" s="72"/>
      <c r="F15" s="75"/>
    </row>
    <row r="16" spans="1:6" s="48" customFormat="1" x14ac:dyDescent="0.25">
      <c r="A16" s="52" t="s">
        <v>340</v>
      </c>
      <c r="B16" s="53" t="s">
        <v>341</v>
      </c>
      <c r="E16" s="72"/>
      <c r="F16" s="75"/>
    </row>
    <row r="17" spans="1:6" s="48" customFormat="1" x14ac:dyDescent="0.25">
      <c r="A17" s="52" t="s">
        <v>342</v>
      </c>
      <c r="B17" s="53" t="s">
        <v>343</v>
      </c>
      <c r="E17" s="72"/>
      <c r="F17" s="75"/>
    </row>
    <row r="18" spans="1:6" s="48" customFormat="1" x14ac:dyDescent="0.25">
      <c r="A18" s="52" t="s">
        <v>344</v>
      </c>
      <c r="B18" s="48" t="s">
        <v>345</v>
      </c>
      <c r="E18" s="72"/>
      <c r="F18" s="75"/>
    </row>
    <row r="19" spans="1:6" s="48" customFormat="1" ht="13.8" thickBot="1" x14ac:dyDescent="0.3">
      <c r="A19" s="52" t="s">
        <v>346</v>
      </c>
      <c r="B19" s="48" t="s">
        <v>347</v>
      </c>
      <c r="E19" s="72"/>
      <c r="F19" s="75"/>
    </row>
    <row r="20" spans="1:6" s="48" customFormat="1" ht="14.4" thickBot="1" x14ac:dyDescent="0.3">
      <c r="A20" s="51" t="s">
        <v>152</v>
      </c>
      <c r="B20" s="54" t="s">
        <v>348</v>
      </c>
      <c r="C20" s="48">
        <v>500</v>
      </c>
      <c r="E20" s="71"/>
      <c r="F20" s="74">
        <f>C20*E20</f>
        <v>0</v>
      </c>
    </row>
    <row r="21" spans="1:6" s="48" customFormat="1" ht="14.4" thickBot="1" x14ac:dyDescent="0.3">
      <c r="A21" s="51" t="s">
        <v>153</v>
      </c>
      <c r="B21" s="54" t="s">
        <v>349</v>
      </c>
      <c r="C21" s="48">
        <v>2500</v>
      </c>
      <c r="E21" s="71">
        <v>0.1</v>
      </c>
      <c r="F21" s="74">
        <f>C21*E21</f>
        <v>250</v>
      </c>
    </row>
    <row r="22" spans="1:6" s="48" customFormat="1" ht="14.4" thickBot="1" x14ac:dyDescent="0.3">
      <c r="A22" s="51" t="s">
        <v>154</v>
      </c>
      <c r="B22" s="54" t="s">
        <v>350</v>
      </c>
      <c r="C22" s="48">
        <v>0</v>
      </c>
      <c r="E22" s="71"/>
      <c r="F22" s="74">
        <f>C22*E22</f>
        <v>0</v>
      </c>
    </row>
    <row r="23" spans="1:6" s="48" customFormat="1" ht="13.8" x14ac:dyDescent="0.25">
      <c r="A23" s="51" t="s">
        <v>155</v>
      </c>
      <c r="B23" s="54" t="s">
        <v>351</v>
      </c>
      <c r="E23" s="72"/>
      <c r="F23" s="75"/>
    </row>
    <row r="24" spans="1:6" s="48" customFormat="1" ht="13.8" thickBot="1" x14ac:dyDescent="0.3">
      <c r="E24" s="72"/>
      <c r="F24" s="75"/>
    </row>
    <row r="25" spans="1:6" s="48" customFormat="1" ht="13.8" thickBot="1" x14ac:dyDescent="0.3">
      <c r="B25" s="48" t="s">
        <v>353</v>
      </c>
      <c r="C25" s="48">
        <v>375</v>
      </c>
      <c r="E25" s="71"/>
      <c r="F25" s="74">
        <f>C25*E25</f>
        <v>0</v>
      </c>
    </row>
    <row r="26" spans="1:6" s="48" customFormat="1" ht="13.8" thickBot="1" x14ac:dyDescent="0.3">
      <c r="B26" s="48" t="s">
        <v>129</v>
      </c>
      <c r="C26" s="59">
        <f>SUM(C2:C25)</f>
        <v>16495</v>
      </c>
      <c r="E26" s="68" t="s">
        <v>368</v>
      </c>
      <c r="F26" s="74">
        <f>SUM(F2:F25)</f>
        <v>628</v>
      </c>
    </row>
    <row r="27" spans="1:6" s="48" customFormat="1" ht="13.8" thickBot="1" x14ac:dyDescent="0.3">
      <c r="E27" s="22" t="s">
        <v>369</v>
      </c>
      <c r="F27" s="77">
        <v>0</v>
      </c>
    </row>
    <row r="28" spans="1:6" s="48" customFormat="1" ht="13.8" thickBot="1" x14ac:dyDescent="0.3">
      <c r="C28" s="65">
        <f>F28/C26</f>
        <v>3.80721430736587E-2</v>
      </c>
      <c r="E28" s="22" t="s">
        <v>370</v>
      </c>
      <c r="F28" s="74">
        <f>F26+F27</f>
        <v>628</v>
      </c>
    </row>
    <row r="29" spans="1:6" s="48" customFormat="1" x14ac:dyDescent="0.25">
      <c r="C29" s="48" t="s">
        <v>393</v>
      </c>
    </row>
    <row r="30" spans="1:6" s="48" customFormat="1" x14ac:dyDescent="0.25"/>
    <row r="31" spans="1:6" s="48" customFormat="1" x14ac:dyDescent="0.25"/>
    <row r="32" spans="1:6"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E30" sqref="E30"/>
    </sheetView>
  </sheetViews>
  <sheetFormatPr defaultColWidth="8.77734375" defaultRowHeight="13.2" x14ac:dyDescent="0.25"/>
  <cols>
    <col min="1" max="1" width="32.44140625" customWidth="1"/>
    <col min="2" max="2" width="13.6640625" customWidth="1"/>
    <col min="3" max="3" width="14.77734375" customWidth="1"/>
    <col min="4" max="4" width="16.77734375" customWidth="1"/>
    <col min="5" max="5" width="17.33203125" customWidth="1"/>
  </cols>
  <sheetData>
    <row r="1" spans="1:5" ht="16.2" thickTop="1" thickBot="1" x14ac:dyDescent="0.3">
      <c r="A1" s="95"/>
      <c r="B1" s="96" t="s">
        <v>355</v>
      </c>
      <c r="C1" s="97" t="s">
        <v>356</v>
      </c>
      <c r="D1" s="97" t="s">
        <v>357</v>
      </c>
      <c r="E1" s="98" t="s">
        <v>129</v>
      </c>
    </row>
    <row r="2" spans="1:5" ht="15.6" thickTop="1" x14ac:dyDescent="0.25">
      <c r="A2" s="99" t="s">
        <v>358</v>
      </c>
      <c r="B2" s="103">
        <f>'Strip Summary Core Costs'!G39</f>
        <v>0</v>
      </c>
      <c r="C2" s="116">
        <f>PixelContributionsITALY!K16</f>
        <v>4985</v>
      </c>
      <c r="D2" s="104">
        <f>CommonItemsITALY!F26</f>
        <v>628</v>
      </c>
      <c r="E2" s="105">
        <f>SUM(B2:D2)</f>
        <v>5613</v>
      </c>
    </row>
    <row r="3" spans="1:5" ht="15.6" thickBot="1" x14ac:dyDescent="0.3">
      <c r="A3" s="100" t="s">
        <v>359</v>
      </c>
      <c r="B3" s="106">
        <f>'Strip Summary Core Costs'!G40</f>
        <v>0</v>
      </c>
      <c r="C3" s="107">
        <f>PixelContributionsITALY!K17</f>
        <v>0</v>
      </c>
      <c r="D3" s="108">
        <f>CommonItemsITALY!F27</f>
        <v>0</v>
      </c>
      <c r="E3" s="109">
        <f>SUM(B3:D3)</f>
        <v>0</v>
      </c>
    </row>
    <row r="4" spans="1:5" ht="16.2" thickTop="1" thickBot="1" x14ac:dyDescent="0.3">
      <c r="A4" s="101" t="s">
        <v>360</v>
      </c>
      <c r="B4" s="110">
        <f>SUM(B2:B3)</f>
        <v>0</v>
      </c>
      <c r="C4" s="115">
        <f>PixelContributionsITALY!K18</f>
        <v>4985</v>
      </c>
      <c r="D4" s="111">
        <f t="shared" ref="D4:E4" si="0">SUM(D2:D3)</f>
        <v>628</v>
      </c>
      <c r="E4" s="112">
        <f t="shared" si="0"/>
        <v>5613</v>
      </c>
    </row>
    <row r="5" spans="1:5" ht="16.2" thickTop="1" thickBot="1" x14ac:dyDescent="0.3">
      <c r="A5" s="102" t="s">
        <v>371</v>
      </c>
      <c r="B5" s="113">
        <f>B4/62557.7</f>
        <v>0</v>
      </c>
      <c r="C5" s="113">
        <f>C4/PixelContributionsITALY!D15</f>
        <v>0.121496466000487</v>
      </c>
      <c r="D5" s="113">
        <f>D4/16495</f>
        <v>3.80721430736587E-2</v>
      </c>
      <c r="E5" s="114">
        <f>E4/120082.7</f>
        <v>4.6742786429685497E-2</v>
      </c>
    </row>
    <row r="6" spans="1:5" ht="13.8" thickTop="1" x14ac:dyDescent="0.25"/>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Strip Components cost</vt:lpstr>
      <vt:lpstr>Strip Yields + Preproduction</vt:lpstr>
      <vt:lpstr>Strip Calculations of Size</vt:lpstr>
      <vt:lpstr>Strip Summary Core Costs</vt:lpstr>
      <vt:lpstr>PixelContributionsITALY</vt:lpstr>
      <vt:lpstr>CommonItemsITALY</vt:lpstr>
      <vt:lpstr>FA Core 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Affolder, Tony</dc:creator>
  <cp:lastModifiedBy>dallabe</cp:lastModifiedBy>
  <dcterms:created xsi:type="dcterms:W3CDTF">2012-04-16T10:25:29Z</dcterms:created>
  <dcterms:modified xsi:type="dcterms:W3CDTF">2016-07-26T13:23:36Z</dcterms:modified>
</cp:coreProperties>
</file>