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billmcdonough/Dropbox/01_summerschool/"/>
    </mc:Choice>
  </mc:AlternateContent>
  <bookViews>
    <workbookView xWindow="440" yWindow="460" windowWidth="24560" windowHeight="14240" tabRatio="500"/>
  </bookViews>
  <sheets>
    <sheet name="heat production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H22" i="1"/>
  <c r="G22" i="1"/>
  <c r="F22" i="1"/>
  <c r="E22" i="1"/>
  <c r="U3" i="1"/>
  <c r="C22" i="1"/>
  <c r="F38" i="1"/>
  <c r="T3" i="1"/>
  <c r="S3" i="1"/>
  <c r="R3" i="1"/>
  <c r="Q3" i="1"/>
  <c r="P3" i="1"/>
  <c r="O3" i="1"/>
  <c r="N3" i="1"/>
  <c r="M3" i="1"/>
  <c r="L3" i="1"/>
  <c r="C6" i="1"/>
  <c r="C5" i="1"/>
  <c r="C15" i="1"/>
  <c r="C16" i="1"/>
  <c r="C17" i="1"/>
  <c r="C18" i="1"/>
  <c r="D6" i="1"/>
  <c r="D5" i="1"/>
  <c r="D15" i="1"/>
  <c r="D16" i="1"/>
  <c r="D17" i="1"/>
  <c r="D18" i="1"/>
  <c r="E6" i="1"/>
  <c r="E5" i="1"/>
  <c r="E15" i="1"/>
  <c r="E16" i="1"/>
  <c r="E17" i="1"/>
  <c r="E18" i="1"/>
  <c r="F6" i="1"/>
  <c r="F5" i="1"/>
  <c r="F15" i="1"/>
  <c r="F16" i="1"/>
  <c r="F17" i="1"/>
  <c r="F18" i="1"/>
  <c r="C20" i="1"/>
  <c r="D19" i="1"/>
  <c r="D20" i="1"/>
  <c r="C21" i="1"/>
  <c r="E19" i="1"/>
  <c r="E20" i="1"/>
  <c r="F19" i="1"/>
  <c r="F20" i="1"/>
  <c r="G7" i="1"/>
  <c r="G6" i="1"/>
  <c r="G5" i="1"/>
  <c r="G19" i="1"/>
  <c r="G20" i="1"/>
  <c r="G15" i="1"/>
  <c r="G16" i="1"/>
  <c r="G17" i="1"/>
  <c r="G18" i="1"/>
  <c r="G14" i="1"/>
  <c r="F14" i="1"/>
  <c r="E14" i="1"/>
  <c r="D14" i="1"/>
  <c r="C14" i="1"/>
  <c r="G12" i="1"/>
  <c r="F12" i="1"/>
  <c r="E12" i="1"/>
  <c r="D12" i="1"/>
  <c r="C12" i="1"/>
  <c r="G9" i="1"/>
  <c r="F9" i="1"/>
  <c r="E9" i="1"/>
  <c r="D9" i="1"/>
  <c r="C9" i="1"/>
</calcChain>
</file>

<file path=xl/comments1.xml><?xml version="1.0" encoding="utf-8"?>
<comments xmlns="http://schemas.openxmlformats.org/spreadsheetml/2006/main">
  <authors>
    <author>Bill McDonough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Bill McDonough:</t>
        </r>
        <r>
          <rPr>
            <sz val="9"/>
            <color indexed="81"/>
            <rFont val="Tahoma"/>
            <family val="2"/>
          </rPr>
          <t xml:space="preserve">
The yellow field, bold numbers are inputs</t>
        </r>
      </text>
    </comment>
  </commentList>
</comments>
</file>

<file path=xl/sharedStrings.xml><?xml version="1.0" encoding="utf-8"?>
<sst xmlns="http://schemas.openxmlformats.org/spreadsheetml/2006/main" count="152" uniqueCount="112">
  <si>
    <t>CC</t>
  </si>
  <si>
    <t>OC</t>
  </si>
  <si>
    <r>
      <rPr>
        <vertAlign val="superscript"/>
        <sz val="12"/>
        <color theme="1"/>
        <rFont val="Arial"/>
        <family val="2"/>
      </rPr>
      <t>238</t>
    </r>
    <r>
      <rPr>
        <sz val="12"/>
        <color theme="1"/>
        <rFont val="Arial"/>
        <family val="2"/>
      </rPr>
      <t>U</t>
    </r>
  </si>
  <si>
    <r>
      <rPr>
        <vertAlign val="superscript"/>
        <sz val="12"/>
        <color theme="1"/>
        <rFont val="Arial"/>
        <family val="2"/>
      </rPr>
      <t>235</t>
    </r>
    <r>
      <rPr>
        <sz val="12"/>
        <color theme="1"/>
        <rFont val="Arial"/>
        <family val="2"/>
      </rPr>
      <t>U</t>
    </r>
  </si>
  <si>
    <r>
      <rPr>
        <vertAlign val="superscript"/>
        <sz val="12"/>
        <color theme="1"/>
        <rFont val="Arial"/>
        <family val="2"/>
      </rPr>
      <t>232</t>
    </r>
    <r>
      <rPr>
        <sz val="12"/>
        <color theme="1"/>
        <rFont val="Arial"/>
        <family val="2"/>
      </rPr>
      <t>Th</t>
    </r>
  </si>
  <si>
    <r>
      <rPr>
        <vertAlign val="superscript"/>
        <sz val="12"/>
        <color theme="1"/>
        <rFont val="Arial"/>
        <family val="2"/>
      </rPr>
      <t>40</t>
    </r>
    <r>
      <rPr>
        <sz val="12"/>
        <color theme="1"/>
        <rFont val="Arial"/>
        <family val="2"/>
      </rPr>
      <t>K</t>
    </r>
  </si>
  <si>
    <r>
      <rPr>
        <vertAlign val="superscript"/>
        <sz val="12"/>
        <color theme="1"/>
        <rFont val="Arial"/>
        <family val="2"/>
      </rPr>
      <t>87</t>
    </r>
    <r>
      <rPr>
        <sz val="12"/>
        <color theme="1"/>
        <rFont val="Arial"/>
        <family val="2"/>
      </rPr>
      <t>Rb</t>
    </r>
  </si>
  <si>
    <t>Sed</t>
  </si>
  <si>
    <t>UC</t>
  </si>
  <si>
    <t>MC</t>
  </si>
  <si>
    <t>LC</t>
  </si>
  <si>
    <t>LM</t>
  </si>
  <si>
    <t>% n.a.</t>
  </si>
  <si>
    <t>M (kg)</t>
  </si>
  <si>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 xml:space="preserve"> (g/mol)</t>
    </r>
  </si>
  <si>
    <t>±</t>
  </si>
  <si>
    <r>
      <rPr>
        <sz val="12"/>
        <color theme="1"/>
        <rFont val="Calibri"/>
        <family val="2"/>
        <scheme val="minor"/>
      </rPr>
      <t xml:space="preserve">Decay Constant       </t>
    </r>
    <r>
      <rPr>
        <sz val="12"/>
        <color theme="1"/>
        <rFont val="Symbol"/>
        <family val="1"/>
        <charset val="2"/>
      </rPr>
      <t>l</t>
    </r>
    <r>
      <rPr>
        <sz val="12"/>
        <color theme="1"/>
        <rFont val="Calibri"/>
        <family val="2"/>
        <scheme val="minor"/>
      </rPr>
      <t xml:space="preserve"> (10</t>
    </r>
    <r>
      <rPr>
        <vertAlign val="superscript"/>
        <sz val="12"/>
        <color theme="1"/>
        <rFont val="Calibri"/>
        <family val="2"/>
        <scheme val="minor"/>
      </rPr>
      <t>-18</t>
    </r>
    <r>
      <rPr>
        <sz val="12"/>
        <color theme="1"/>
        <rFont val="Calibri"/>
        <family val="2"/>
        <scheme val="minor"/>
      </rPr>
      <t xml:space="preserve"> s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</si>
  <si>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rPr>
        <sz val="12"/>
        <color theme="1"/>
        <rFont val="Calibri"/>
        <family val="2"/>
        <scheme val="minor"/>
      </rPr>
      <t xml:space="preserve">Decay Constant        </t>
    </r>
    <r>
      <rPr>
        <sz val="12"/>
        <rFont val="Arial"/>
        <family val="2"/>
      </rPr>
      <t>λ (yr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)</t>
    </r>
  </si>
  <si>
    <t xml:space="preserve"> +</t>
  </si>
  <si>
    <r>
      <rPr>
        <sz val="12"/>
        <color theme="1"/>
        <rFont val="Calibri"/>
        <family val="2"/>
        <scheme val="minor"/>
      </rPr>
      <t>half-life           t</t>
    </r>
    <r>
      <rPr>
        <vertAlign val="subscript"/>
        <sz val="12"/>
        <color theme="1"/>
        <rFont val="Calibri"/>
        <family val="2"/>
        <scheme val="minor"/>
      </rPr>
      <t>1/2</t>
    </r>
    <r>
      <rPr>
        <sz val="12"/>
        <color theme="1"/>
        <rFont val="Calibri"/>
        <family val="2"/>
        <scheme val="minor"/>
      </rPr>
      <t xml:space="preserve"> (Gyr)*</t>
    </r>
  </si>
  <si>
    <t xml:space="preserve"> -</t>
  </si>
  <si>
    <r>
      <rPr>
        <sz val="12"/>
        <color theme="1"/>
        <rFont val="Calibri"/>
        <family val="2"/>
        <scheme val="minor"/>
      </rPr>
      <t xml:space="preserve">mean lifetime     </t>
    </r>
    <r>
      <rPr>
        <sz val="12"/>
        <color theme="1"/>
        <rFont val="Symbol"/>
        <family val="1"/>
        <charset val="2"/>
      </rPr>
      <t>t</t>
    </r>
    <r>
      <rPr>
        <sz val="12"/>
        <color theme="1"/>
        <rFont val="Calibri"/>
        <family val="2"/>
        <scheme val="minor"/>
      </rPr>
      <t xml:space="preserve"> (Gyr)</t>
    </r>
  </si>
  <si>
    <r>
      <rPr>
        <i/>
        <sz val="12"/>
        <color theme="1"/>
        <rFont val="Calibri"/>
        <family val="2"/>
        <scheme val="minor"/>
      </rPr>
      <t xml:space="preserve"># of </t>
    </r>
    <r>
      <rPr>
        <sz val="12"/>
        <color theme="1"/>
        <rFont val="Symbol"/>
        <family val="1"/>
        <charset val="2"/>
      </rPr>
      <t>n</t>
    </r>
    <r>
      <rPr>
        <vertAlign val="subscript"/>
        <sz val="12"/>
        <color theme="1"/>
        <rFont val="Calibri"/>
        <family val="2"/>
        <scheme val="minor"/>
      </rPr>
      <t>e</t>
    </r>
  </si>
  <si>
    <r>
      <rPr>
        <i/>
        <sz val="12"/>
        <color theme="1"/>
        <rFont val="Calibri"/>
        <family val="2"/>
        <scheme val="minor"/>
      </rPr>
      <t>Q**</t>
    </r>
    <r>
      <rPr>
        <sz val="12"/>
        <color theme="1"/>
        <rFont val="Calibri"/>
        <family val="2"/>
        <scheme val="minor"/>
      </rPr>
      <t xml:space="preserve"> (MeV)</t>
    </r>
  </si>
  <si>
    <r>
      <rPr>
        <i/>
        <sz val="12"/>
        <color theme="1"/>
        <rFont val="Calibri"/>
        <family val="2"/>
        <scheme val="minor"/>
      </rPr>
      <t>Q</t>
    </r>
    <r>
      <rPr>
        <sz val="12"/>
        <color theme="1"/>
        <rFont val="Calibri"/>
        <family val="2"/>
        <scheme val="minor"/>
      </rPr>
      <t xml:space="preserve"> (pJ)</t>
    </r>
  </si>
  <si>
    <r>
      <rPr>
        <i/>
        <sz val="12"/>
        <color theme="1"/>
        <rFont val="Calibri"/>
        <family val="2"/>
        <scheme val="minor"/>
      </rPr>
      <t>Q</t>
    </r>
    <r>
      <rPr>
        <i/>
        <vertAlign val="subscript"/>
        <sz val="12"/>
        <color theme="1"/>
        <rFont val="Symbol"/>
        <family val="1"/>
        <charset val="2"/>
      </rPr>
      <t>n</t>
    </r>
    <r>
      <rPr>
        <i/>
        <vertAlign val="superscript"/>
        <sz val="12"/>
        <color theme="1"/>
        <rFont val="Symbol"/>
        <family val="1"/>
        <charset val="2"/>
      </rPr>
      <t>#</t>
    </r>
    <r>
      <rPr>
        <sz val="12"/>
        <color theme="1"/>
        <rFont val="Calibri"/>
        <family val="2"/>
        <scheme val="minor"/>
      </rPr>
      <t xml:space="preserve"> (MeV)</t>
    </r>
  </si>
  <si>
    <r>
      <rPr>
        <i/>
        <sz val="12"/>
        <color theme="1"/>
        <rFont val="Calibri"/>
        <family val="2"/>
        <scheme val="minor"/>
      </rPr>
      <t>Q</t>
    </r>
    <r>
      <rPr>
        <i/>
        <vertAlign val="subscript"/>
        <sz val="12"/>
        <color theme="1"/>
        <rFont val="Symbol"/>
        <family val="1"/>
        <charset val="2"/>
      </rPr>
      <t>n</t>
    </r>
    <r>
      <rPr>
        <sz val="12"/>
        <color theme="1"/>
        <rFont val="Calibri"/>
        <family val="2"/>
        <scheme val="minor"/>
      </rPr>
      <t xml:space="preserve"> (pJ)</t>
    </r>
  </si>
  <si>
    <r>
      <t>Q</t>
    </r>
    <r>
      <rPr>
        <i/>
        <vertAlign val="subscript"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 xml:space="preserve"> (MeV)</t>
    </r>
  </si>
  <si>
    <r>
      <t>Q</t>
    </r>
    <r>
      <rPr>
        <i/>
        <vertAlign val="subscript"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 xml:space="preserve"> (pJ)</t>
    </r>
  </si>
  <si>
    <r>
      <rPr>
        <i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 xml:space="preserve"> (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W/kg)</t>
    </r>
  </si>
  <si>
    <r>
      <rPr>
        <sz val="12"/>
        <color theme="1"/>
        <rFont val="Calibri"/>
        <family val="2"/>
        <scheme val="minor"/>
      </rPr>
      <t>h'    (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W/kg)</t>
    </r>
  </si>
  <si>
    <r>
      <t xml:space="preserve">luminosity  </t>
    </r>
    <r>
      <rPr>
        <i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(kg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s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</si>
  <si>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 xml:space="preserve">luminosity  </t>
    </r>
    <r>
      <rPr>
        <i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(kg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 xml:space="preserve"> s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</si>
  <si>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 xml:space="preserve">total luminosity </t>
    </r>
    <r>
      <rPr>
        <i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(</t>
    </r>
    <r>
      <rPr>
        <sz val="12"/>
        <color theme="1"/>
        <rFont val="Symbol"/>
        <family val="1"/>
        <charset val="2"/>
      </rPr>
      <t>n</t>
    </r>
    <r>
      <rPr>
        <sz val="12"/>
        <color theme="1"/>
        <rFont val="Calibri"/>
        <family val="2"/>
        <scheme val="minor"/>
      </rPr>
      <t xml:space="preserve"> s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</si>
  <si>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>N</t>
    </r>
    <r>
      <rPr>
        <vertAlign val="subscript"/>
        <sz val="12"/>
        <color theme="1"/>
        <rFont val="Calibri"/>
        <family val="2"/>
        <scheme val="minor"/>
      </rPr>
      <t xml:space="preserve">A        </t>
    </r>
  </si>
  <si>
    <t xml:space="preserve">joules to MeV   </t>
  </si>
  <si>
    <t xml:space="preserve">sec/yr   </t>
  </si>
  <si>
    <r>
      <t xml:space="preserve">* decay constants from Begeman et al (2001), except for </t>
    </r>
    <r>
      <rPr>
        <b/>
        <i/>
        <vertAlign val="superscript"/>
        <sz val="12"/>
        <color theme="1"/>
        <rFont val="Calibri"/>
        <family val="2"/>
        <scheme val="minor"/>
      </rPr>
      <t>232</t>
    </r>
    <r>
      <rPr>
        <b/>
        <i/>
        <sz val="12"/>
        <color theme="1"/>
        <rFont val="Calibri"/>
        <family val="2"/>
        <scheme val="minor"/>
      </rPr>
      <t>Th from Blum (1995)</t>
    </r>
  </si>
  <si>
    <t xml:space="preserve">** data from NNDC </t>
  </si>
  <si>
    <t>and NDC(Korea)</t>
  </si>
  <si>
    <r>
      <rPr>
        <i/>
        <vertAlign val="superscript"/>
        <sz val="12"/>
        <color theme="1"/>
        <rFont val="Calibri"/>
        <family val="2"/>
        <scheme val="minor"/>
      </rPr>
      <t xml:space="preserve"># </t>
    </r>
    <r>
      <rPr>
        <i/>
        <sz val="12"/>
        <color theme="1"/>
        <rFont val="Calibri"/>
        <family val="2"/>
        <scheme val="minor"/>
      </rPr>
      <t>Fiorentini et al. (2007) Physics Reports 453, 117– 172</t>
    </r>
  </si>
  <si>
    <t xml:space="preserve"> - Begemann F., Ludwig K.R., Lugmair G.W., Min K.W., Nyquist L.E., Patchett P.J., Renne P.R., Shih C.-Y., Villa I.M. and Walker R.J. Towards and improved set of decay constants for geochronological use. Geochim. Cosmochim Acta. 65, 111-121, (2001),  
 - Blum, J.D. [Isotope Decay data] Global Earth physics: a handbook of physical constants [Ahrens, T.J. (ed.)] [271-282] (American Geophysical Union, Washington, DC) 1995</t>
  </si>
  <si>
    <r>
      <t>H</t>
    </r>
    <r>
      <rPr>
        <vertAlign val="subscript"/>
        <sz val="11"/>
        <color theme="1"/>
        <rFont val="Calibri (Body)"/>
      </rPr>
      <t>U</t>
    </r>
  </si>
  <si>
    <r>
      <t>H</t>
    </r>
    <r>
      <rPr>
        <vertAlign val="subscript"/>
        <sz val="11"/>
        <color theme="1"/>
        <rFont val="Calibri (Body)"/>
      </rPr>
      <t>Th</t>
    </r>
  </si>
  <si>
    <r>
      <t>H</t>
    </r>
    <r>
      <rPr>
        <vertAlign val="subscript"/>
        <sz val="11"/>
        <color theme="1"/>
        <rFont val="Calibri (Body)"/>
      </rPr>
      <t>K</t>
    </r>
  </si>
  <si>
    <r>
      <t>H</t>
    </r>
    <r>
      <rPr>
        <vertAlign val="subscript"/>
        <sz val="11"/>
        <color theme="1"/>
        <rFont val="Calibri (Body)"/>
      </rPr>
      <t>total</t>
    </r>
  </si>
  <si>
    <t>INPUT</t>
  </si>
  <si>
    <t>CALCULATE HEAT PRODUCTION IN TW</t>
  </si>
  <si>
    <t>CALCULATE ANTINEUTRINO LUMINOSITY IN NUEBAR/s</t>
  </si>
  <si>
    <t xml:space="preserve">Mantle </t>
  </si>
  <si>
    <t>DM</t>
  </si>
  <si>
    <t>EM</t>
  </si>
  <si>
    <t>bottom boundary of CLM is 175 km</t>
  </si>
  <si>
    <t>EM (enriched mantle) is 18% by mass of the mantle</t>
  </si>
  <si>
    <t>MASSES</t>
  </si>
  <si>
    <t>crust1 layer 1</t>
  </si>
  <si>
    <t>crust1 layer 2</t>
  </si>
  <si>
    <t>crust1 layer 3</t>
  </si>
  <si>
    <t>crust1 layer 4</t>
  </si>
  <si>
    <t>crust1 layer 5</t>
  </si>
  <si>
    <t>crust1 layer 6</t>
  </si>
  <si>
    <t>crust1 layer 7</t>
  </si>
  <si>
    <t>crust1 layer 8</t>
  </si>
  <si>
    <t xml:space="preserve">Litho Mantle  </t>
  </si>
  <si>
    <t>Crust total (1-8)</t>
  </si>
  <si>
    <t>Rocky layers (3-8)</t>
  </si>
  <si>
    <t>Sediments (3-5)</t>
  </si>
  <si>
    <t>U+M+L crust (6-8)</t>
  </si>
  <si>
    <t>U crust + sed (3-6)</t>
  </si>
  <si>
    <t>Depleted Mantle</t>
  </si>
  <si>
    <t>Enriched Mantle</t>
  </si>
  <si>
    <t>BSE</t>
  </si>
  <si>
    <t>mass kg</t>
  </si>
  <si>
    <t>mass frac of CC+sed</t>
  </si>
  <si>
    <t>Upper C sed</t>
  </si>
  <si>
    <t>Middle C sed</t>
  </si>
  <si>
    <t>Lower C sed</t>
  </si>
  <si>
    <t>Upper CC</t>
  </si>
  <si>
    <t>Upper CC+sed</t>
  </si>
  <si>
    <t>Middle CC</t>
  </si>
  <si>
    <t>Lower CC</t>
  </si>
  <si>
    <t>CC+OC kg</t>
  </si>
  <si>
    <t>CC kg</t>
  </si>
  <si>
    <t>OC kg</t>
  </si>
  <si>
    <t>water</t>
  </si>
  <si>
    <t>ice</t>
  </si>
  <si>
    <t>sediment 1</t>
  </si>
  <si>
    <t>sediment 2</t>
  </si>
  <si>
    <t>sediment 3</t>
  </si>
  <si>
    <t>Upper Crust</t>
  </si>
  <si>
    <t>Middle Crust</t>
  </si>
  <si>
    <t>Lower Crust</t>
  </si>
  <si>
    <t>Jinping</t>
  </si>
  <si>
    <t>Oc Crust</t>
  </si>
  <si>
    <t>GEOLOGICAL RESPONSE FACTOR</t>
  </si>
  <si>
    <t>GRF in kg/m2</t>
  </si>
  <si>
    <t>crust1 layers 3-8</t>
  </si>
  <si>
    <t>Litho Mantle 9</t>
  </si>
  <si>
    <t>Depleted Mantle (excl. LM)</t>
  </si>
  <si>
    <t>total</t>
  </si>
  <si>
    <t xml:space="preserve"> +/- 10% concentration</t>
  </si>
  <si>
    <t xml:space="preserve"> +/- 3% mass</t>
  </si>
  <si>
    <t>U, kg/kg</t>
  </si>
  <si>
    <t>Th, kg/kg</t>
  </si>
  <si>
    <t>K, kg/kg</t>
  </si>
  <si>
    <r>
      <t>L</t>
    </r>
    <r>
      <rPr>
        <vertAlign val="subscript"/>
        <sz val="11"/>
        <color theme="1"/>
        <rFont val="Calibri (Body)"/>
      </rPr>
      <t>U</t>
    </r>
  </si>
  <si>
    <r>
      <t>L</t>
    </r>
    <r>
      <rPr>
        <vertAlign val="subscript"/>
        <sz val="11"/>
        <color theme="1"/>
        <rFont val="Calibri (Body)"/>
      </rPr>
      <t>Th</t>
    </r>
  </si>
  <si>
    <r>
      <t>L</t>
    </r>
    <r>
      <rPr>
        <vertAlign val="subscript"/>
        <sz val="11"/>
        <color theme="1"/>
        <rFont val="Calibri (Body)"/>
      </rPr>
      <t>K</t>
    </r>
  </si>
  <si>
    <r>
      <t>L</t>
    </r>
    <r>
      <rPr>
        <vertAlign val="subscript"/>
        <sz val="11"/>
        <color theme="1"/>
        <rFont val="Calibri (Body)"/>
      </rPr>
      <t>total</t>
    </r>
  </si>
  <si>
    <r>
      <t>CALCULATE THE % FRATION OF THE SURFACE FLUX IN NUEBAR/s/CM</t>
    </r>
    <r>
      <rPr>
        <b/>
        <vertAlign val="superscript"/>
        <sz val="11"/>
        <color rgb="FFFF0000"/>
        <rFont val="Calibri (Body)"/>
      </rPr>
      <t>2</t>
    </r>
  </si>
  <si>
    <t>average &lt;Pee&gt; =</t>
  </si>
  <si>
    <t>CALCULATE ANTINEUTRINO FLUX IN NUEBAR/s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</si>
</sst>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E+00"/>
    <numFmt numFmtId="166" formatCode="0.000"/>
    <numFmt numFmtId="167" formatCode="0.000E+00"/>
    <numFmt numFmtId="168" formatCode="0.00000"/>
    <numFmt numFmtId="169" formatCode="0.0000E+00"/>
    <numFmt numFmtId="170" formatCode="0.0"/>
  </numFmts>
  <fonts count="3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color theme="1"/>
      <name val="Calibri"/>
      <family val="2"/>
      <scheme val="minor"/>
    </font>
    <font>
      <i/>
      <vertAlign val="subscript"/>
      <sz val="12"/>
      <color theme="1"/>
      <name val="Symbol"/>
      <family val="1"/>
      <charset val="2"/>
    </font>
    <font>
      <i/>
      <vertAlign val="superscript"/>
      <sz val="12"/>
      <color theme="1"/>
      <name val="Symbol"/>
      <family val="1"/>
      <charset val="2"/>
    </font>
    <font>
      <i/>
      <vertAlign val="subscript"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 (Body)"/>
    </font>
    <font>
      <vertAlign val="subscript"/>
      <sz val="11"/>
      <color theme="1"/>
      <name val="Calibri (Body)"/>
    </font>
    <font>
      <b/>
      <sz val="11"/>
      <color rgb="FFFF0000"/>
      <name val="Calibri"/>
      <scheme val="minor"/>
    </font>
    <font>
      <b/>
      <vertAlign val="superscript"/>
      <sz val="11"/>
      <color rgb="FFFF0000"/>
      <name val="Calibri (Body)"/>
    </font>
    <font>
      <sz val="11"/>
      <color rgb="FF222222"/>
      <name val="Calibri"/>
      <scheme val="minor"/>
    </font>
    <font>
      <sz val="11"/>
      <color theme="1"/>
      <name val="Calibri"/>
      <scheme val="minor"/>
    </font>
    <font>
      <b/>
      <sz val="12"/>
      <color rgb="FFFF0000"/>
      <name val="Calibri"/>
      <scheme val="minor"/>
    </font>
    <font>
      <b/>
      <sz val="11"/>
      <color theme="1"/>
      <name val="Calibri (Body)"/>
    </font>
    <font>
      <i/>
      <sz val="16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0" fillId="0" borderId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4" borderId="0" xfId="0" applyFont="1" applyFill="1" applyBorder="1" applyAlignment="1">
      <alignment horizontal="center" wrapText="1"/>
    </xf>
    <xf numFmtId="164" fontId="1" fillId="4" borderId="0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70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 wrapText="1"/>
    </xf>
    <xf numFmtId="0" fontId="0" fillId="0" borderId="0" xfId="0" applyFont="1" applyBorder="1"/>
    <xf numFmtId="165" fontId="0" fillId="0" borderId="0" xfId="0" applyNumberFormat="1" applyFont="1" applyBorder="1" applyAlignment="1">
      <alignment horizontal="center"/>
    </xf>
    <xf numFmtId="165" fontId="0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ont="1" applyFill="1" applyAlignment="1">
      <alignment horizontal="right"/>
    </xf>
    <xf numFmtId="167" fontId="0" fillId="8" borderId="0" xfId="0" applyNumberFormat="1" applyFont="1" applyFill="1" applyAlignment="1">
      <alignment horizontal="left"/>
    </xf>
    <xf numFmtId="11" fontId="0" fillId="8" borderId="0" xfId="0" applyNumberFormat="1" applyFont="1" applyFill="1" applyAlignment="1">
      <alignment horizontal="left"/>
    </xf>
    <xf numFmtId="0" fontId="15" fillId="8" borderId="0" xfId="1" applyFont="1" applyFill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3" fillId="2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11" fontId="23" fillId="3" borderId="0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 wrapText="1"/>
    </xf>
    <xf numFmtId="11" fontId="23" fillId="5" borderId="0" xfId="0" applyNumberFormat="1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11" fontId="23" fillId="6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11" fontId="23" fillId="7" borderId="0" xfId="0" applyNumberFormat="1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11" fontId="23" fillId="8" borderId="0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11" fontId="23" fillId="9" borderId="0" xfId="0" applyNumberFormat="1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11" fontId="23" fillId="11" borderId="0" xfId="0" applyNumberFormat="1" applyFont="1" applyFill="1" applyBorder="1" applyAlignment="1">
      <alignment horizontal="center"/>
    </xf>
    <xf numFmtId="0" fontId="23" fillId="0" borderId="0" xfId="0" applyFont="1"/>
    <xf numFmtId="0" fontId="0" fillId="0" borderId="1" xfId="0" applyFont="1" applyBorder="1"/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3" fillId="2" borderId="0" xfId="0" applyFont="1" applyFill="1"/>
    <xf numFmtId="0" fontId="27" fillId="0" borderId="0" xfId="0" applyFont="1" applyAlignment="1">
      <alignment vertical="center"/>
    </xf>
    <xf numFmtId="0" fontId="28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1" fontId="27" fillId="0" borderId="0" xfId="0" applyNumberFormat="1" applyFont="1" applyAlignment="1">
      <alignment horizontal="center" vertical="center"/>
    </xf>
    <xf numFmtId="11" fontId="27" fillId="12" borderId="0" xfId="0" applyNumberFormat="1" applyFont="1" applyFill="1" applyAlignment="1">
      <alignment horizontal="center" vertical="center"/>
    </xf>
    <xf numFmtId="0" fontId="27" fillId="12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1" fontId="0" fillId="0" borderId="0" xfId="0" applyNumberFormat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1" fontId="0" fillId="0" borderId="0" xfId="0" applyNumberFormat="1" applyFont="1" applyFill="1" applyAlignment="1">
      <alignment horizontal="center"/>
    </xf>
    <xf numFmtId="0" fontId="31" fillId="13" borderId="0" xfId="0" applyFont="1" applyFill="1" applyAlignment="1">
      <alignment horizontal="right"/>
    </xf>
    <xf numFmtId="0" fontId="31" fillId="13" borderId="0" xfId="0" applyFont="1" applyFill="1" applyAlignment="1">
      <alignment horizontal="left"/>
    </xf>
    <xf numFmtId="167" fontId="23" fillId="8" borderId="0" xfId="0" applyNumberFormat="1" applyFont="1" applyFill="1" applyBorder="1" applyAlignment="1">
      <alignment horizontal="center" vertical="center" wrapText="1"/>
    </xf>
    <xf numFmtId="167" fontId="0" fillId="8" borderId="0" xfId="0" applyNumberFormat="1" applyFont="1" applyFill="1"/>
    <xf numFmtId="167" fontId="0" fillId="8" borderId="0" xfId="0" applyNumberFormat="1" applyFill="1" applyAlignment="1">
      <alignment horizontal="center"/>
    </xf>
    <xf numFmtId="11" fontId="0" fillId="8" borderId="0" xfId="0" applyNumberFormat="1" applyFill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0" fontId="0" fillId="2" borderId="0" xfId="0" applyFill="1" applyAlignment="1"/>
    <xf numFmtId="0" fontId="29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203200</xdr:rowOff>
    </xdr:from>
    <xdr:to>
      <xdr:col>4</xdr:col>
      <xdr:colOff>1206500</xdr:colOff>
      <xdr:row>35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6616700"/>
          <a:ext cx="7023100" cy="10922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43</xdr:row>
      <xdr:rowOff>76200</xdr:rowOff>
    </xdr:from>
    <xdr:to>
      <xdr:col>3</xdr:col>
      <xdr:colOff>241300</xdr:colOff>
      <xdr:row>45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436100"/>
          <a:ext cx="4635500" cy="469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190500</xdr:rowOff>
    </xdr:from>
    <xdr:to>
      <xdr:col>3</xdr:col>
      <xdr:colOff>1295400</xdr:colOff>
      <xdr:row>53</xdr:row>
      <xdr:rowOff>25400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0363200"/>
          <a:ext cx="5702300" cy="1092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50800</xdr:rowOff>
    </xdr:from>
    <xdr:to>
      <xdr:col>2</xdr:col>
      <xdr:colOff>254000</xdr:colOff>
      <xdr:row>41</xdr:row>
      <xdr:rowOff>12700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7924800"/>
          <a:ext cx="325120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tom.kaeri.re.kr/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http://www.usno.navy.mil/USNO/time/master-clock/leap-seconds" TargetMode="External"/><Relationship Id="rId2" Type="http://schemas.openxmlformats.org/officeDocument/2006/relationships/hyperlink" Target="http://www.nndc.bnl.gov/ch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6"/>
  <sheetViews>
    <sheetView tabSelected="1" topLeftCell="F1" workbookViewId="0">
      <selection activeCell="T2" sqref="T2"/>
    </sheetView>
  </sheetViews>
  <sheetFormatPr baseColWidth="10" defaultRowHeight="16" x14ac:dyDescent="0.2"/>
  <cols>
    <col min="1" max="1" width="4.33203125" style="1" customWidth="1"/>
    <col min="2" max="2" width="39.33203125" style="1" customWidth="1"/>
    <col min="3" max="4" width="18.5" style="1" customWidth="1"/>
    <col min="5" max="5" width="19.5" style="1" customWidth="1"/>
    <col min="6" max="7" width="18.5" style="1" customWidth="1"/>
    <col min="8" max="8" width="10.83203125" style="1"/>
    <col min="9" max="10" width="2.6640625" style="1" customWidth="1"/>
    <col min="11" max="11" width="10.83203125" style="56"/>
    <col min="12" max="18" width="13.33203125" style="56" customWidth="1"/>
    <col min="19" max="19" width="10.83203125" style="1"/>
    <col min="23" max="23" width="24.6640625" customWidth="1"/>
    <col min="24" max="24" width="15.33203125" style="33" customWidth="1"/>
    <col min="25" max="25" width="15.6640625" style="33" customWidth="1"/>
    <col min="26" max="26" width="10.83203125" style="33"/>
  </cols>
  <sheetData>
    <row r="1" spans="2:27" x14ac:dyDescent="0.2">
      <c r="B1" s="2"/>
      <c r="C1" s="2"/>
      <c r="D1" s="2"/>
      <c r="E1" s="2"/>
      <c r="F1" s="2"/>
      <c r="G1" s="2"/>
      <c r="H1" s="2"/>
      <c r="I1" s="3"/>
      <c r="J1" s="3"/>
      <c r="K1" s="58" t="s">
        <v>46</v>
      </c>
      <c r="L1" s="72" t="s">
        <v>0</v>
      </c>
      <c r="M1" s="72"/>
      <c r="N1" s="72"/>
      <c r="O1" s="72"/>
      <c r="P1" s="72"/>
      <c r="Q1" s="72" t="s">
        <v>1</v>
      </c>
      <c r="R1" s="72"/>
      <c r="S1" s="72" t="s">
        <v>49</v>
      </c>
      <c r="T1" s="72"/>
      <c r="U1" s="72"/>
      <c r="X1" s="85" t="s">
        <v>92</v>
      </c>
      <c r="Y1" s="86"/>
      <c r="Z1" s="86"/>
      <c r="AA1" s="86"/>
    </row>
    <row r="2" spans="2:27" ht="18" x14ac:dyDescent="0.2">
      <c r="B2" s="4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K2" s="41"/>
      <c r="L2" s="73" t="s">
        <v>7</v>
      </c>
      <c r="M2" s="73" t="s">
        <v>8</v>
      </c>
      <c r="N2" s="73" t="s">
        <v>9</v>
      </c>
      <c r="O2" s="73" t="s">
        <v>10</v>
      </c>
      <c r="P2" s="73" t="s">
        <v>11</v>
      </c>
      <c r="Q2" s="73" t="s">
        <v>7</v>
      </c>
      <c r="R2" s="73" t="s">
        <v>93</v>
      </c>
      <c r="S2" s="73" t="s">
        <v>50</v>
      </c>
      <c r="T2" s="73" t="s">
        <v>51</v>
      </c>
      <c r="U2" s="73" t="s">
        <v>99</v>
      </c>
      <c r="X2" s="61" t="s">
        <v>54</v>
      </c>
      <c r="Y2" s="65" t="s">
        <v>81</v>
      </c>
      <c r="Z2" s="64" t="s">
        <v>82</v>
      </c>
      <c r="AA2" s="64" t="s">
        <v>83</v>
      </c>
    </row>
    <row r="3" spans="2:27" x14ac:dyDescent="0.2">
      <c r="B3" s="6" t="s">
        <v>12</v>
      </c>
      <c r="C3" s="7">
        <v>0.99279600000000001</v>
      </c>
      <c r="D3" s="7">
        <v>7.2040000000000003E-3</v>
      </c>
      <c r="E3" s="8">
        <v>1</v>
      </c>
      <c r="F3" s="9">
        <v>1.17E-4</v>
      </c>
      <c r="G3" s="7">
        <v>0.27829999999999999</v>
      </c>
      <c r="H3" s="10"/>
      <c r="I3" s="11"/>
      <c r="K3" s="50" t="s">
        <v>13</v>
      </c>
      <c r="L3" s="79">
        <f>Z5+Z6+Z7</f>
        <v>7.0192E+20</v>
      </c>
      <c r="M3" s="79">
        <f>Z8</f>
        <v>6.312E+21</v>
      </c>
      <c r="N3" s="79">
        <f>Z9</f>
        <v>6.3990000000000003E+21</v>
      </c>
      <c r="O3" s="79">
        <f>Z10</f>
        <v>6.2460000000000005E+21</v>
      </c>
      <c r="P3" s="79">
        <f>Z11</f>
        <v>8.896E+22</v>
      </c>
      <c r="Q3" s="79">
        <f>AA5+AA6+AA7</f>
        <v>4.1685E+20</v>
      </c>
      <c r="R3" s="79">
        <f>AA8+AA9+AA10</f>
        <v>7.1064E+21</v>
      </c>
      <c r="S3" s="80">
        <f>Y20</f>
        <v>3.1950000000000002E+24</v>
      </c>
      <c r="T3" s="81">
        <f>Y21</f>
        <v>7.2159999999999995E+23</v>
      </c>
      <c r="U3" s="82">
        <f>SUM(L3:T3)</f>
        <v>4.0327421700000003E+24</v>
      </c>
      <c r="W3" t="s">
        <v>84</v>
      </c>
      <c r="X3" s="61" t="s">
        <v>55</v>
      </c>
      <c r="Y3" s="66">
        <v>1.359E+21</v>
      </c>
      <c r="Z3" s="66">
        <v>2.993E+19</v>
      </c>
      <c r="AA3" s="66">
        <v>1.329E+21</v>
      </c>
    </row>
    <row r="4" spans="2:27" x14ac:dyDescent="0.2">
      <c r="B4" s="6" t="s">
        <v>14</v>
      </c>
      <c r="C4" s="7">
        <v>238.04859999999999</v>
      </c>
      <c r="D4" s="7">
        <v>235.0428</v>
      </c>
      <c r="E4" s="7">
        <v>232.03800000000001</v>
      </c>
      <c r="F4" s="7">
        <v>39.963999999999999</v>
      </c>
      <c r="G4" s="7">
        <v>86.909300000000002</v>
      </c>
      <c r="H4" s="10"/>
      <c r="J4" s="12"/>
      <c r="K4" s="42" t="s">
        <v>102</v>
      </c>
      <c r="L4" s="43">
        <v>1.73E-6</v>
      </c>
      <c r="M4" s="43">
        <v>2.7E-6</v>
      </c>
      <c r="N4" s="43">
        <v>9.7000000000000003E-7</v>
      </c>
      <c r="O4" s="43">
        <v>1.6E-7</v>
      </c>
      <c r="P4" s="43">
        <v>2.9999999999999997E-8</v>
      </c>
      <c r="Q4" s="43">
        <v>1.73E-6</v>
      </c>
      <c r="R4" s="43">
        <v>7.0000000000000005E-8</v>
      </c>
      <c r="S4" s="43">
        <v>8.0000000000000005E-9</v>
      </c>
      <c r="T4" s="43">
        <v>3.1100000000000001E-8</v>
      </c>
      <c r="U4" s="43"/>
      <c r="W4" t="s">
        <v>85</v>
      </c>
      <c r="X4" s="61" t="s">
        <v>56</v>
      </c>
      <c r="Y4" s="66">
        <v>2.643E+19</v>
      </c>
      <c r="Z4" s="66">
        <v>2.643E+19</v>
      </c>
      <c r="AA4" s="66">
        <v>6589000000000000</v>
      </c>
    </row>
    <row r="5" spans="2:27" ht="19" x14ac:dyDescent="0.2">
      <c r="B5" s="6" t="s">
        <v>16</v>
      </c>
      <c r="C5" s="13">
        <f>1000*C6*$C$26</f>
        <v>4.8952832769738404</v>
      </c>
      <c r="D5" s="13">
        <f>1000*D6*$C$26</f>
        <v>31.078834154817649</v>
      </c>
      <c r="E5" s="13">
        <f>1000*E6*$C$26</f>
        <v>1.5612843873306359</v>
      </c>
      <c r="F5" s="13">
        <f>1000*F6*$C$26</f>
        <v>17.236874914501346</v>
      </c>
      <c r="G5" s="13">
        <f>1000*G6*$C$26</f>
        <v>0.44242810216529405</v>
      </c>
      <c r="H5" s="10"/>
      <c r="I5" s="11"/>
      <c r="K5" s="44" t="s">
        <v>103</v>
      </c>
      <c r="L5" s="45">
        <v>8.1000000000000004E-6</v>
      </c>
      <c r="M5" s="45">
        <v>1.0499999999999999E-5</v>
      </c>
      <c r="N5" s="45">
        <v>4.8600000000000001E-6</v>
      </c>
      <c r="O5" s="45">
        <v>9.5999999999999991E-7</v>
      </c>
      <c r="P5" s="45">
        <v>1.4999999999999999E-7</v>
      </c>
      <c r="Q5" s="45">
        <v>8.1000000000000004E-6</v>
      </c>
      <c r="R5" s="45">
        <v>2.1E-7</v>
      </c>
      <c r="S5" s="45">
        <v>2.1900000000000001E-8</v>
      </c>
      <c r="T5" s="45">
        <v>1.55E-7</v>
      </c>
      <c r="U5" s="45"/>
      <c r="W5" t="s">
        <v>86</v>
      </c>
      <c r="X5" s="61" t="s">
        <v>57</v>
      </c>
      <c r="Y5" s="66">
        <v>5.603E+20</v>
      </c>
      <c r="Z5" s="66">
        <v>2.698E+20</v>
      </c>
      <c r="AA5" s="66">
        <v>2.905E+20</v>
      </c>
    </row>
    <row r="6" spans="2:27" ht="18" x14ac:dyDescent="0.2">
      <c r="B6" s="6" t="s">
        <v>17</v>
      </c>
      <c r="C6" s="14">
        <f>LN(2)/(C7*1000000000)</f>
        <v>1.551254796141587E-10</v>
      </c>
      <c r="D6" s="14">
        <f>LN(2)/(D7*1000000000)</f>
        <v>9.8484986084304755E-10</v>
      </c>
      <c r="E6" s="14">
        <f>LN(2)/(E7*1000000000)</f>
        <v>4.9475173487505019E-11</v>
      </c>
      <c r="F6" s="14">
        <f>LN(2)/(F7*1000000000)</f>
        <v>5.462152723088615E-10</v>
      </c>
      <c r="G6" s="14">
        <f>LN(2)/(G7*1000000000)</f>
        <v>1.402E-11</v>
      </c>
      <c r="H6" s="10"/>
      <c r="K6" s="46" t="s">
        <v>104</v>
      </c>
      <c r="L6" s="47">
        <v>1.83E-2</v>
      </c>
      <c r="M6" s="47">
        <v>2.3199999999999998E-2</v>
      </c>
      <c r="N6" s="47">
        <v>1.52E-2</v>
      </c>
      <c r="O6" s="47">
        <v>6.4999999999999997E-3</v>
      </c>
      <c r="P6" s="47">
        <v>2.9999999999999997E-4</v>
      </c>
      <c r="Q6" s="47">
        <v>1.83E-2</v>
      </c>
      <c r="R6" s="47">
        <v>6.9999999999999999E-4</v>
      </c>
      <c r="S6" s="47">
        <v>1.5200000000000001E-4</v>
      </c>
      <c r="T6" s="47">
        <v>3.9599999999999998E-4</v>
      </c>
      <c r="U6" s="47"/>
      <c r="W6" t="s">
        <v>87</v>
      </c>
      <c r="X6" s="61" t="s">
        <v>58</v>
      </c>
      <c r="Y6" s="66">
        <v>4.603E+20</v>
      </c>
      <c r="Z6" s="66">
        <v>3.547E+20</v>
      </c>
      <c r="AA6" s="66">
        <v>1.056E+20</v>
      </c>
    </row>
    <row r="7" spans="2:27" ht="18" x14ac:dyDescent="0.25">
      <c r="B7" s="15" t="s">
        <v>19</v>
      </c>
      <c r="C7" s="16">
        <v>4.4683000000000002</v>
      </c>
      <c r="D7" s="17">
        <v>0.70381000000000005</v>
      </c>
      <c r="E7" s="18">
        <v>14.01</v>
      </c>
      <c r="F7" s="19">
        <v>1.2689999999999999</v>
      </c>
      <c r="G7" s="18">
        <f>(LN(2)/0.00000000001402)/1000000000</f>
        <v>49.439884490723628</v>
      </c>
      <c r="H7" s="10"/>
      <c r="L7" s="56" t="s">
        <v>100</v>
      </c>
      <c r="N7" s="56" t="s">
        <v>101</v>
      </c>
      <c r="W7" t="s">
        <v>88</v>
      </c>
      <c r="X7" s="61" t="s">
        <v>59</v>
      </c>
      <c r="Y7" s="66">
        <v>9.817E+19</v>
      </c>
      <c r="Z7" s="66">
        <v>7.742E+19</v>
      </c>
      <c r="AA7" s="66">
        <v>2.075E+19</v>
      </c>
    </row>
    <row r="8" spans="2:27" x14ac:dyDescent="0.2">
      <c r="B8" s="15" t="s">
        <v>15</v>
      </c>
      <c r="C8" s="16">
        <v>2.3999999999999998E-3</v>
      </c>
      <c r="D8" s="17">
        <v>4.8000000000000001E-4</v>
      </c>
      <c r="E8" s="19">
        <v>8.0000000000000002E-3</v>
      </c>
      <c r="F8" s="19">
        <v>1.2999999999999999E-2</v>
      </c>
      <c r="G8" s="19">
        <v>8.9999999999999993E-3</v>
      </c>
      <c r="H8" s="10"/>
      <c r="I8" s="10"/>
      <c r="J8" s="10"/>
      <c r="K8" s="59" t="s">
        <v>47</v>
      </c>
      <c r="L8" s="60"/>
      <c r="M8" s="60"/>
      <c r="W8" t="s">
        <v>89</v>
      </c>
      <c r="X8" s="61" t="s">
        <v>60</v>
      </c>
      <c r="Y8" s="66">
        <v>6.936E+21</v>
      </c>
      <c r="Z8" s="66">
        <v>6.312E+21</v>
      </c>
      <c r="AA8" s="66">
        <v>6.244E+20</v>
      </c>
    </row>
    <row r="9" spans="2:27" ht="17" x14ac:dyDescent="0.2">
      <c r="B9" s="20" t="s">
        <v>21</v>
      </c>
      <c r="C9" s="8">
        <f>C7/LN(2)</f>
        <v>6.4463942512041559</v>
      </c>
      <c r="D9" s="8">
        <f>D7/LN(2)</f>
        <v>1.0153831967280615</v>
      </c>
      <c r="E9" s="21">
        <f>E7/LN(2)</f>
        <v>20.212157522854376</v>
      </c>
      <c r="F9" s="13">
        <f>F7/LN(2)</f>
        <v>1.8307800068880944</v>
      </c>
      <c r="G9" s="21">
        <f>G7/LN(2)</f>
        <v>71.32667617689016</v>
      </c>
      <c r="H9" s="10"/>
      <c r="I9" s="10"/>
      <c r="J9" s="10"/>
      <c r="K9" s="48" t="s">
        <v>42</v>
      </c>
      <c r="L9" s="49"/>
      <c r="M9" s="49"/>
      <c r="N9" s="49"/>
      <c r="O9" s="49"/>
      <c r="P9" s="49"/>
      <c r="Q9" s="49"/>
      <c r="R9" s="49"/>
      <c r="S9" s="49"/>
      <c r="T9" s="49"/>
      <c r="U9" s="49"/>
      <c r="W9" t="s">
        <v>90</v>
      </c>
      <c r="X9" s="61" t="s">
        <v>61</v>
      </c>
      <c r="Y9" s="66">
        <v>7.8809999999999997E+21</v>
      </c>
      <c r="Z9" s="66">
        <v>6.3990000000000003E+21</v>
      </c>
      <c r="AA9" s="66">
        <v>1.482E+21</v>
      </c>
    </row>
    <row r="10" spans="2:27" ht="18" x14ac:dyDescent="0.25">
      <c r="B10" s="6" t="s">
        <v>22</v>
      </c>
      <c r="C10" s="7">
        <v>6</v>
      </c>
      <c r="D10" s="7">
        <v>4</v>
      </c>
      <c r="E10" s="7">
        <v>4</v>
      </c>
      <c r="F10" s="7">
        <v>0.89300000000000002</v>
      </c>
      <c r="G10" s="7">
        <v>1</v>
      </c>
      <c r="H10" s="22"/>
      <c r="K10" s="48" t="s">
        <v>18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W10" t="s">
        <v>91</v>
      </c>
      <c r="X10" s="61" t="s">
        <v>62</v>
      </c>
      <c r="Y10" s="66">
        <v>1.1249999999999999E+22</v>
      </c>
      <c r="Z10" s="66">
        <v>6.2460000000000005E+21</v>
      </c>
      <c r="AA10" s="66">
        <v>5E+21</v>
      </c>
    </row>
    <row r="11" spans="2:27" x14ac:dyDescent="0.2">
      <c r="B11" s="15" t="s">
        <v>23</v>
      </c>
      <c r="C11" s="23">
        <v>51.7</v>
      </c>
      <c r="D11" s="23">
        <v>46.4</v>
      </c>
      <c r="E11" s="23">
        <v>42.66</v>
      </c>
      <c r="F11" s="19">
        <v>1.3109999999999999</v>
      </c>
      <c r="G11" s="23">
        <v>0.28299999999999997</v>
      </c>
      <c r="H11" s="10"/>
      <c r="I11" s="10"/>
      <c r="J11" s="10"/>
      <c r="K11" s="48" t="s">
        <v>20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X11" s="61" t="s">
        <v>63</v>
      </c>
      <c r="Y11" s="66">
        <v>2.541E+23</v>
      </c>
      <c r="Z11" s="66">
        <v>8.896E+22</v>
      </c>
      <c r="AA11" s="66">
        <v>1.651E+23</v>
      </c>
    </row>
    <row r="12" spans="2:27" ht="17" x14ac:dyDescent="0.2">
      <c r="B12" s="6" t="s">
        <v>24</v>
      </c>
      <c r="C12" s="8">
        <f>(C11/$C$25)*1000000000000</f>
        <v>8.2832528453766621</v>
      </c>
      <c r="D12" s="8">
        <f>(D11/$C$25)*1000000000000</f>
        <v>7.4340992654831153</v>
      </c>
      <c r="E12" s="8">
        <f>(E11/$C$25)*1000000000000</f>
        <v>6.834885229860121</v>
      </c>
      <c r="F12" s="8">
        <f>(F11/$C$25)*1000000000000</f>
        <v>0.21004534778121473</v>
      </c>
      <c r="G12" s="8">
        <f>(G11/$C$25)*1000000000000</f>
        <v>4.534159681318365E-2</v>
      </c>
      <c r="H12" s="10"/>
      <c r="I12" s="24"/>
      <c r="J12" s="24"/>
      <c r="K12" s="50" t="s">
        <v>43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X12" s="61"/>
      <c r="Y12" s="64"/>
      <c r="Z12" s="64"/>
      <c r="AA12" s="64"/>
    </row>
    <row r="13" spans="2:27" ht="19" x14ac:dyDescent="0.25">
      <c r="B13" s="15" t="s">
        <v>25</v>
      </c>
      <c r="C13" s="18">
        <v>3.96</v>
      </c>
      <c r="D13" s="18">
        <v>2.0499999999999998</v>
      </c>
      <c r="E13" s="18">
        <v>2.23</v>
      </c>
      <c r="F13" s="19">
        <v>0.72399999999999998</v>
      </c>
      <c r="G13" s="19">
        <v>0.161</v>
      </c>
      <c r="H13" s="10"/>
      <c r="I13" s="10"/>
      <c r="J13" s="10"/>
      <c r="K13" s="50" t="s">
        <v>18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X13" s="61" t="s">
        <v>64</v>
      </c>
      <c r="Y13" s="66">
        <v>2.8570000000000002E+22</v>
      </c>
      <c r="Z13" s="66">
        <v>1.9719999999999998E+22</v>
      </c>
      <c r="AA13" s="66">
        <v>8.852E+21</v>
      </c>
    </row>
    <row r="14" spans="2:27" ht="18" x14ac:dyDescent="0.25">
      <c r="B14" s="6" t="s">
        <v>26</v>
      </c>
      <c r="C14" s="13">
        <f>(C13/$C$25)*1000000000000</f>
        <v>0.63446192007140378</v>
      </c>
      <c r="D14" s="13">
        <f>(D13/$C$25)*1000000000000</f>
        <v>0.32844619599656</v>
      </c>
      <c r="E14" s="13">
        <f>(E13/$C$25)*1000000000000</f>
        <v>0.35728537418162382</v>
      </c>
      <c r="F14" s="13">
        <f>(F13/$C$25)*1000000000000</f>
        <v>0.11599758336658997</v>
      </c>
      <c r="G14" s="13">
        <f>(G13/$C$25)*1000000000000</f>
        <v>2.579504270997374E-2</v>
      </c>
      <c r="H14" s="10"/>
      <c r="I14" s="10"/>
      <c r="J14" s="10"/>
      <c r="K14" s="50" t="s">
        <v>20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X14" s="61" t="s">
        <v>65</v>
      </c>
      <c r="Y14" s="66">
        <v>2.7180000000000001E+22</v>
      </c>
      <c r="Z14" s="66">
        <v>1.9660000000000001E+22</v>
      </c>
      <c r="AA14" s="66">
        <v>7.5230000000000003E+21</v>
      </c>
    </row>
    <row r="15" spans="2:27" ht="18" x14ac:dyDescent="0.25">
      <c r="B15" s="25" t="s">
        <v>27</v>
      </c>
      <c r="C15" s="26">
        <f>C11-C13</f>
        <v>47.74</v>
      </c>
      <c r="D15" s="26">
        <f>D11-D13</f>
        <v>44.35</v>
      </c>
      <c r="E15" s="26">
        <f>E11-E13</f>
        <v>40.43</v>
      </c>
      <c r="F15" s="27">
        <f>F11-F13</f>
        <v>0.58699999999999997</v>
      </c>
      <c r="G15" s="27">
        <f>G11-G13</f>
        <v>0.12199999999999997</v>
      </c>
      <c r="H15" s="10"/>
      <c r="I15" s="10"/>
      <c r="J15" s="10"/>
      <c r="K15" s="52" t="s">
        <v>44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X15" s="61" t="s">
        <v>66</v>
      </c>
      <c r="Y15" s="66">
        <v>1.119E+21</v>
      </c>
      <c r="Z15" s="66">
        <v>7.019E+20</v>
      </c>
      <c r="AA15" s="66">
        <v>4.169E+20</v>
      </c>
    </row>
    <row r="16" spans="2:27" ht="18" x14ac:dyDescent="0.25">
      <c r="B16" s="6" t="s">
        <v>28</v>
      </c>
      <c r="C16" s="13">
        <f>(C15/$C$25)*1000000000000</f>
        <v>7.6487909253052573</v>
      </c>
      <c r="D16" s="13">
        <f>(D15/$C$25)*1000000000000</f>
        <v>7.1056530694865554</v>
      </c>
      <c r="E16" s="13">
        <f>(E15/$C$25)*1000000000000</f>
        <v>6.4775998556784984</v>
      </c>
      <c r="F16" s="13">
        <f>(F15/$C$25)*1000000000000</f>
        <v>9.4047764414624743E-2</v>
      </c>
      <c r="G16" s="13">
        <f>(G15/$C$25)*1000000000000</f>
        <v>1.9546554103209907E-2</v>
      </c>
      <c r="H16" s="10"/>
      <c r="I16" s="10"/>
      <c r="J16" s="10"/>
      <c r="K16" s="52" t="s">
        <v>18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X16" s="61" t="s">
        <v>67</v>
      </c>
      <c r="Y16" s="66">
        <v>2.6060000000000001E+22</v>
      </c>
      <c r="Z16" s="66">
        <v>1.896E+22</v>
      </c>
      <c r="AA16" s="66">
        <v>7.1059999999999995E+21</v>
      </c>
    </row>
    <row r="17" spans="2:27" x14ac:dyDescent="0.2">
      <c r="B17" s="6" t="s">
        <v>29</v>
      </c>
      <c r="C17" s="21">
        <f>$C$24*C5*0.000000000000000001*C16/(C4*1000)</f>
        <v>94.720882961303829</v>
      </c>
      <c r="D17" s="28">
        <f>$C$24*D5*0.000000000000000001*D16/(D4*1000)</f>
        <v>565.79944543812587</v>
      </c>
      <c r="E17" s="21">
        <f>$C$24*E5*0.000000000000000001*E16/(E4*1000)</f>
        <v>26.246885162672122</v>
      </c>
      <c r="F17" s="21">
        <f>$C$24*F5*0.000000000000000001*F16/(F4*1000)</f>
        <v>24.427487932506107</v>
      </c>
      <c r="G17" s="8">
        <f>$C$24*G5*0.000000000000000001*G16/(G4*1000)</f>
        <v>5.9922153096288892E-2</v>
      </c>
      <c r="H17" s="10"/>
      <c r="I17" s="10"/>
      <c r="J17" s="10"/>
      <c r="K17" s="52" t="s">
        <v>20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X17" s="61" t="s">
        <v>68</v>
      </c>
      <c r="Y17" s="66">
        <v>8.0550000000000003E+21</v>
      </c>
      <c r="Z17" s="66">
        <v>7.0140000000000005E+21</v>
      </c>
      <c r="AA17" s="66">
        <v>1.041E+21</v>
      </c>
    </row>
    <row r="18" spans="2:27" ht="17" x14ac:dyDescent="0.2">
      <c r="B18" s="29" t="s">
        <v>30</v>
      </c>
      <c r="C18" s="21">
        <f>C17*C3</f>
        <v>94.038513720450595</v>
      </c>
      <c r="D18" s="21">
        <f>D17*D3</f>
        <v>4.0760192049362587</v>
      </c>
      <c r="E18" s="21">
        <f>E17*E3</f>
        <v>26.246885162672122</v>
      </c>
      <c r="F18" s="8">
        <f>F17*F3</f>
        <v>2.8580160881032145E-3</v>
      </c>
      <c r="G18" s="8">
        <f>G17*G3</f>
        <v>1.6676335206697198E-2</v>
      </c>
      <c r="H18" s="10"/>
      <c r="I18" s="10"/>
      <c r="J18" s="10"/>
      <c r="K18" s="54" t="s">
        <v>45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X18" s="61" t="s">
        <v>52</v>
      </c>
      <c r="Y18" s="64"/>
      <c r="Z18" s="64"/>
      <c r="AA18" s="64"/>
    </row>
    <row r="19" spans="2:27" ht="19" x14ac:dyDescent="0.2">
      <c r="B19" s="6" t="s">
        <v>31</v>
      </c>
      <c r="C19" s="28">
        <f>C3*$C$24*(C5*0.000000000000000001)*C10/(C4*1000)</f>
        <v>73.767355890981619</v>
      </c>
      <c r="D19" s="28">
        <f>D3*$C$24*(D5*0.000000000000000001)*D10/(D4*1000)</f>
        <v>2.2945219334952909</v>
      </c>
      <c r="E19" s="28">
        <f>E3*$C$24*(E5*0.000000000000000001)*E10/(E4*1000)</f>
        <v>16.207784208629775</v>
      </c>
      <c r="F19" s="13">
        <f>F3*$C$24*(F5*0.000000000000000001)*F10/(F4*1000)</f>
        <v>2.7137363472292102E-2</v>
      </c>
      <c r="G19" s="13">
        <f>G3*$C$24*(G5*0.000000000000000001)*G10/(G4*1000)</f>
        <v>0.85315985204566747</v>
      </c>
      <c r="K19" s="54" t="s">
        <v>18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X19" s="61" t="s">
        <v>53</v>
      </c>
      <c r="Z19" s="64"/>
      <c r="AA19" s="64"/>
    </row>
    <row r="20" spans="2:27" ht="19" x14ac:dyDescent="0.2">
      <c r="B20" s="6" t="s">
        <v>32</v>
      </c>
      <c r="C20" s="9">
        <f>C19*1000000</f>
        <v>73767355.890981615</v>
      </c>
      <c r="D20" s="9">
        <f>D19*1000000</f>
        <v>2294521.933495291</v>
      </c>
      <c r="E20" s="9">
        <f>E19*1000000</f>
        <v>16207784.208629776</v>
      </c>
      <c r="F20" s="9">
        <f>F19*1000000</f>
        <v>27137.363472292102</v>
      </c>
      <c r="G20" s="9">
        <f>G19*1000000</f>
        <v>853159.85204566747</v>
      </c>
      <c r="K20" s="54" t="s">
        <v>20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X20" s="61" t="s">
        <v>69</v>
      </c>
      <c r="Y20" s="66">
        <v>3.1950000000000002E+24</v>
      </c>
      <c r="Z20" s="64"/>
      <c r="AA20" s="64"/>
    </row>
    <row r="21" spans="2:27" x14ac:dyDescent="0.2">
      <c r="B21" s="30"/>
      <c r="C21" s="83">
        <f>C20+D20</f>
        <v>76061877.824476913</v>
      </c>
      <c r="D21" s="84"/>
      <c r="E21" s="30"/>
      <c r="F21" s="30"/>
      <c r="G21" s="30"/>
      <c r="X21" s="61" t="s">
        <v>70</v>
      </c>
      <c r="Y21" s="66">
        <v>7.2159999999999995E+23</v>
      </c>
      <c r="Z21" s="64"/>
      <c r="AA21" s="64"/>
    </row>
    <row r="22" spans="2:27" ht="19" x14ac:dyDescent="0.2">
      <c r="B22" s="6" t="s">
        <v>33</v>
      </c>
      <c r="C22" s="31">
        <f>C21*0.00000002*U3</f>
        <v>6.134758844643118E+24</v>
      </c>
      <c r="D22" s="31"/>
      <c r="E22" s="31">
        <f>E20*0.00000008*U3</f>
        <v>5.2289451888321109E+24</v>
      </c>
      <c r="F22" s="31">
        <f>F20*0.00028*U3</f>
        <v>3.0642637216052391E+25</v>
      </c>
      <c r="G22" s="31">
        <f>G20*0.0000006*U3</f>
        <v>2.0643442278573143E+24</v>
      </c>
      <c r="H22" s="32">
        <f>SUM(C22:G22)</f>
        <v>4.4070685477384939E+25</v>
      </c>
      <c r="X22" s="61" t="s">
        <v>71</v>
      </c>
      <c r="Y22" s="67">
        <v>4.0330000000000002E+24</v>
      </c>
    </row>
    <row r="23" spans="2:27" x14ac:dyDescent="0.2">
      <c r="K23" s="59" t="s">
        <v>48</v>
      </c>
      <c r="L23" s="60"/>
      <c r="M23" s="60"/>
      <c r="N23" s="60"/>
    </row>
    <row r="24" spans="2:27" ht="18" x14ac:dyDescent="0.25">
      <c r="B24" s="34" t="s">
        <v>34</v>
      </c>
      <c r="C24" s="35">
        <v>6.0220000000000003E+23</v>
      </c>
      <c r="K24" s="48" t="s">
        <v>105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2:27" x14ac:dyDescent="0.2">
      <c r="B25" s="34" t="s">
        <v>35</v>
      </c>
      <c r="C25" s="36">
        <v>6241509340000</v>
      </c>
      <c r="K25" s="48" t="s">
        <v>18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2:27" x14ac:dyDescent="0.2">
      <c r="B26" s="37" t="s">
        <v>36</v>
      </c>
      <c r="C26" s="35">
        <v>31556925.9747</v>
      </c>
      <c r="K26" s="48" t="s">
        <v>20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2:27" ht="19" x14ac:dyDescent="0.2">
      <c r="B27" s="38" t="s">
        <v>37</v>
      </c>
      <c r="K27" s="50" t="s">
        <v>106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2:27" ht="19" x14ac:dyDescent="0.2">
      <c r="B28" s="39" t="s">
        <v>38</v>
      </c>
      <c r="C28" s="12" t="s">
        <v>39</v>
      </c>
      <c r="D28" s="40" t="s">
        <v>40</v>
      </c>
      <c r="K28" s="50" t="s">
        <v>18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W28" s="61"/>
      <c r="X28" s="64"/>
      <c r="Y28" s="64"/>
      <c r="Z28" s="64"/>
    </row>
    <row r="29" spans="2:27" ht="17" thickBot="1" x14ac:dyDescent="0.25">
      <c r="B29" s="57"/>
      <c r="C29" s="57"/>
      <c r="D29" s="57"/>
      <c r="E29" s="57"/>
      <c r="F29" s="57"/>
      <c r="G29" s="57"/>
      <c r="K29" s="50" t="s">
        <v>20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W29" s="62"/>
      <c r="X29" s="65" t="s">
        <v>72</v>
      </c>
      <c r="Y29" s="63" t="s">
        <v>73</v>
      </c>
      <c r="Z29" s="64"/>
    </row>
    <row r="30" spans="2:27" ht="18" thickTop="1" x14ac:dyDescent="0.2">
      <c r="K30" s="52" t="s">
        <v>107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W30" s="61" t="s">
        <v>74</v>
      </c>
      <c r="X30" s="66">
        <v>2.698E+20</v>
      </c>
      <c r="Y30" s="65">
        <v>1.372E-2</v>
      </c>
      <c r="Z30" s="64"/>
    </row>
    <row r="31" spans="2:27" x14ac:dyDescent="0.2">
      <c r="K31" s="52" t="s">
        <v>18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W31" s="61" t="s">
        <v>75</v>
      </c>
      <c r="X31" s="66">
        <v>3.547E+20</v>
      </c>
      <c r="Y31" s="65">
        <v>1.804E-2</v>
      </c>
      <c r="Z31" s="64"/>
    </row>
    <row r="32" spans="2:27" x14ac:dyDescent="0.2">
      <c r="B32" s="74"/>
      <c r="C32" s="74"/>
      <c r="K32" s="52" t="s">
        <v>20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W32" s="61" t="s">
        <v>76</v>
      </c>
      <c r="X32" s="66">
        <v>7.742E+19</v>
      </c>
      <c r="Y32" s="65">
        <v>3.9399999999999999E-3</v>
      </c>
      <c r="Z32" s="64"/>
    </row>
    <row r="33" spans="2:26" ht="17" x14ac:dyDescent="0.2">
      <c r="B33" s="74"/>
      <c r="C33" s="74"/>
      <c r="K33" s="54" t="s">
        <v>108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W33" s="61" t="s">
        <v>77</v>
      </c>
      <c r="X33" s="66">
        <v>6.312E+21</v>
      </c>
      <c r="Y33" s="65">
        <v>0.32107000000000002</v>
      </c>
      <c r="Z33" s="64"/>
    </row>
    <row r="34" spans="2:26" x14ac:dyDescent="0.2">
      <c r="B34" s="74"/>
      <c r="C34" s="75"/>
      <c r="K34" s="54" t="s">
        <v>18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W34" s="61" t="s">
        <v>78</v>
      </c>
      <c r="X34" s="66">
        <v>7.0140000000000005E+21</v>
      </c>
      <c r="Y34" s="65">
        <v>0.35677999999999999</v>
      </c>
      <c r="Z34" s="64"/>
    </row>
    <row r="35" spans="2:26" x14ac:dyDescent="0.2">
      <c r="B35" s="74"/>
      <c r="C35" s="75"/>
      <c r="K35" s="54" t="s">
        <v>20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W35" s="61" t="s">
        <v>79</v>
      </c>
      <c r="X35" s="66">
        <v>6.3990000000000003E+21</v>
      </c>
      <c r="Y35" s="65">
        <v>0.32551999999999998</v>
      </c>
      <c r="Z35" s="64"/>
    </row>
    <row r="36" spans="2:26" x14ac:dyDescent="0.2">
      <c r="B36" s="74"/>
      <c r="C36" s="76"/>
      <c r="W36" s="61" t="s">
        <v>80</v>
      </c>
      <c r="X36" s="66">
        <v>6.2460000000000005E+21</v>
      </c>
      <c r="Y36" s="68">
        <v>0.31769999999999998</v>
      </c>
      <c r="Z36" s="64"/>
    </row>
    <row r="37" spans="2:26" x14ac:dyDescent="0.2">
      <c r="B37" s="74"/>
      <c r="C37" s="76"/>
      <c r="K37" s="59" t="s">
        <v>111</v>
      </c>
      <c r="L37" s="60"/>
      <c r="M37" s="60"/>
      <c r="N37" s="60"/>
    </row>
    <row r="38" spans="2:26" ht="21" x14ac:dyDescent="0.25">
      <c r="B38" s="74"/>
      <c r="C38" s="76"/>
      <c r="E38" s="77" t="s">
        <v>110</v>
      </c>
      <c r="F38" s="78">
        <f>0.551</f>
        <v>0.55100000000000005</v>
      </c>
      <c r="K38" s="48" t="s">
        <v>105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W38" t="s">
        <v>94</v>
      </c>
    </row>
    <row r="39" spans="2:26" x14ac:dyDescent="0.2">
      <c r="B39" s="74"/>
      <c r="C39" s="76"/>
      <c r="K39" s="48" t="s">
        <v>18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W39" s="33" t="s">
        <v>95</v>
      </c>
      <c r="X39" s="33" t="s">
        <v>0</v>
      </c>
      <c r="Y39" s="33" t="s">
        <v>1</v>
      </c>
    </row>
    <row r="40" spans="2:26" x14ac:dyDescent="0.2">
      <c r="B40" s="74"/>
      <c r="C40" s="76"/>
      <c r="K40" s="48" t="s">
        <v>20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W40" t="s">
        <v>57</v>
      </c>
      <c r="X40" s="71">
        <v>1783000</v>
      </c>
      <c r="Y40" s="71">
        <v>637300</v>
      </c>
    </row>
    <row r="41" spans="2:26" ht="17" x14ac:dyDescent="0.2">
      <c r="B41" s="74"/>
      <c r="C41" s="76"/>
      <c r="K41" s="50" t="s">
        <v>106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W41" t="s">
        <v>58</v>
      </c>
      <c r="X41" s="71">
        <v>3643000</v>
      </c>
      <c r="Y41" s="71">
        <v>362200</v>
      </c>
    </row>
    <row r="42" spans="2:26" x14ac:dyDescent="0.2">
      <c r="B42" s="74"/>
      <c r="C42" s="76"/>
      <c r="K42" s="50" t="s">
        <v>18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W42" t="s">
        <v>59</v>
      </c>
      <c r="X42" s="71">
        <v>925900</v>
      </c>
      <c r="Y42" s="71">
        <v>98500</v>
      </c>
    </row>
    <row r="43" spans="2:26" x14ac:dyDescent="0.2">
      <c r="B43" s="74"/>
      <c r="C43" s="76"/>
      <c r="K43" s="50" t="s">
        <v>20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W43" t="s">
        <v>60</v>
      </c>
      <c r="X43" s="71">
        <v>188600000</v>
      </c>
      <c r="Y43" s="71">
        <v>1053000</v>
      </c>
    </row>
    <row r="44" spans="2:26" ht="17" x14ac:dyDescent="0.2">
      <c r="B44" s="74"/>
      <c r="C44" s="76"/>
      <c r="K44" s="52" t="s">
        <v>107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W44" t="s">
        <v>61</v>
      </c>
      <c r="X44" s="71">
        <v>115300000</v>
      </c>
      <c r="Y44" s="71">
        <v>2491000</v>
      </c>
    </row>
    <row r="45" spans="2:26" x14ac:dyDescent="0.2">
      <c r="B45" s="74"/>
      <c r="C45" s="76"/>
      <c r="K45" s="52" t="s">
        <v>18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W45" t="s">
        <v>62</v>
      </c>
      <c r="X45" s="71">
        <v>67620000</v>
      </c>
      <c r="Y45" s="71">
        <v>8402000</v>
      </c>
    </row>
    <row r="46" spans="2:26" x14ac:dyDescent="0.2">
      <c r="B46" s="74"/>
      <c r="C46" s="74"/>
      <c r="K46" s="52" t="s">
        <v>20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W46" t="s">
        <v>96</v>
      </c>
      <c r="X46" s="71">
        <v>377800000</v>
      </c>
      <c r="Y46" s="71">
        <v>13040000</v>
      </c>
    </row>
    <row r="47" spans="2:26" ht="17" x14ac:dyDescent="0.2">
      <c r="K47" s="54" t="s">
        <v>108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W47" t="s">
        <v>97</v>
      </c>
      <c r="X47" s="71">
        <v>822400000</v>
      </c>
      <c r="Y47" s="71">
        <v>258800000</v>
      </c>
    </row>
    <row r="48" spans="2:26" x14ac:dyDescent="0.2">
      <c r="K48" s="54" t="s">
        <v>18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1:24" x14ac:dyDescent="0.2">
      <c r="K49" s="54" t="s">
        <v>20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W49" t="s">
        <v>98</v>
      </c>
      <c r="X49" s="71">
        <v>8882000000</v>
      </c>
    </row>
    <row r="50" spans="11:24" x14ac:dyDescent="0.2">
      <c r="W50" t="s">
        <v>70</v>
      </c>
      <c r="X50" s="71">
        <v>1641000000</v>
      </c>
    </row>
    <row r="51" spans="11:24" ht="17" x14ac:dyDescent="0.2">
      <c r="K51" s="59" t="s">
        <v>109</v>
      </c>
      <c r="L51" s="60"/>
      <c r="M51" s="60"/>
      <c r="N51" s="60"/>
    </row>
    <row r="52" spans="11:24" ht="17" x14ac:dyDescent="0.2">
      <c r="K52" s="48" t="s">
        <v>105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1:24" ht="17" x14ac:dyDescent="0.2">
      <c r="K53" s="50" t="s">
        <v>106</v>
      </c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1:24" ht="17" x14ac:dyDescent="0.2">
      <c r="K54" s="52" t="s">
        <v>107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1:24" ht="17" x14ac:dyDescent="0.2">
      <c r="K55" s="54" t="s">
        <v>108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61" spans="11:24" x14ac:dyDescent="0.2">
      <c r="K61" s="70"/>
      <c r="L61" s="70"/>
      <c r="M61" s="70"/>
      <c r="N61" s="70"/>
      <c r="O61" s="70"/>
      <c r="P61" s="70"/>
      <c r="Q61" s="70"/>
      <c r="R61" s="70"/>
    </row>
    <row r="76" spans="2:10" ht="16" customHeight="1" x14ac:dyDescent="0.2">
      <c r="B76" s="69" t="s">
        <v>41</v>
      </c>
      <c r="C76" s="70"/>
      <c r="D76" s="70"/>
      <c r="E76" s="70"/>
      <c r="F76" s="70"/>
      <c r="G76" s="70"/>
      <c r="H76" s="70"/>
      <c r="I76" s="70"/>
      <c r="J76" s="70"/>
    </row>
  </sheetData>
  <mergeCells count="2">
    <mergeCell ref="C21:D21"/>
    <mergeCell ref="X1:AA1"/>
  </mergeCells>
  <hyperlinks>
    <hyperlink ref="B26" r:id="rId1" display="sec/yr"/>
    <hyperlink ref="B28" r:id="rId2"/>
    <hyperlink ref="C28" r:id="rId3"/>
  </hyperlinks>
  <pageMargins left="0.7" right="0.7" top="0.75" bottom="0.75" header="0.3" footer="0.3"/>
  <pageSetup orientation="portrait" horizontalDpi="0" verticalDpi="0"/>
  <ignoredErrors>
    <ignoredError sqref="C15 D15:G15" formula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heat production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2016-07-18T14:21:34Z</dcterms:created>
  <dcterms:modified xsi:type="dcterms:W3CDTF">2016-07-19T11:57:38Z</dcterms:modified>
</cp:coreProperties>
</file>