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315" yWindow="0" windowWidth="20730" windowHeight="11760"/>
  </bookViews>
  <sheets>
    <sheet name="phi-side" sheetId="16" r:id="rId1"/>
    <sheet name="z-side" sheetId="17" r:id="rId2"/>
    <sheet name="Sheet1" sheetId="18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4" i="17"/>
  <c r="F9"/>
  <c r="O9"/>
  <c r="P9"/>
  <c r="U9"/>
  <c r="Q9"/>
  <c r="V9"/>
  <c r="L9"/>
  <c r="G9"/>
  <c r="R9"/>
  <c r="W9"/>
  <c r="Y9"/>
  <c r="F24"/>
  <c r="O24"/>
  <c r="U24"/>
  <c r="F25"/>
  <c r="O25"/>
  <c r="G13" i="16"/>
  <c r="H13"/>
  <c r="Q13"/>
  <c r="R13"/>
  <c r="W13"/>
  <c r="E13"/>
  <c r="S13"/>
  <c r="X13"/>
  <c r="N13"/>
  <c r="I13"/>
  <c r="T13"/>
  <c r="Y13"/>
  <c r="AA13"/>
  <c r="G12"/>
  <c r="H12"/>
  <c r="Q12"/>
  <c r="R12"/>
  <c r="W12"/>
  <c r="E12"/>
  <c r="S12"/>
  <c r="X12"/>
  <c r="N12"/>
  <c r="I12"/>
  <c r="T12"/>
  <c r="Y12"/>
  <c r="AA12"/>
  <c r="G11"/>
  <c r="H11"/>
  <c r="Q11"/>
  <c r="R11"/>
  <c r="W11"/>
  <c r="E11"/>
  <c r="S11"/>
  <c r="X11"/>
  <c r="N11"/>
  <c r="I11"/>
  <c r="T11"/>
  <c r="Y11"/>
  <c r="AA11"/>
  <c r="G10"/>
  <c r="H10"/>
  <c r="Q10"/>
  <c r="R10"/>
  <c r="W10"/>
  <c r="E10"/>
  <c r="S10"/>
  <c r="X10"/>
  <c r="N10"/>
  <c r="I10"/>
  <c r="T10"/>
  <c r="Y10"/>
  <c r="AA10"/>
  <c r="G9"/>
  <c r="H9"/>
  <c r="Q9"/>
  <c r="R9"/>
  <c r="W9"/>
  <c r="E9"/>
  <c r="S9"/>
  <c r="X9"/>
  <c r="N9"/>
  <c r="I9"/>
  <c r="T9"/>
  <c r="Y9"/>
  <c r="AA9"/>
  <c r="G8"/>
  <c r="H8"/>
  <c r="Q8"/>
  <c r="R8"/>
  <c r="W8"/>
  <c r="E8"/>
  <c r="S8"/>
  <c r="X8"/>
  <c r="N8"/>
  <c r="I8"/>
  <c r="T8"/>
  <c r="Y8"/>
  <c r="AA8"/>
  <c r="G7"/>
  <c r="H7"/>
  <c r="Q7"/>
  <c r="R7"/>
  <c r="W7"/>
  <c r="E7"/>
  <c r="S7"/>
  <c r="X7"/>
  <c r="N7"/>
  <c r="I7"/>
  <c r="T7"/>
  <c r="Y7"/>
  <c r="AA7"/>
  <c r="F7" i="17"/>
  <c r="O7"/>
  <c r="P7"/>
  <c r="U7"/>
  <c r="Q7"/>
  <c r="V7"/>
  <c r="L7"/>
  <c r="G7"/>
  <c r="R7"/>
  <c r="W7"/>
  <c r="Y7"/>
  <c r="F8"/>
  <c r="O8"/>
  <c r="P8"/>
  <c r="U8"/>
  <c r="Q8"/>
  <c r="V8"/>
  <c r="L8"/>
  <c r="G8"/>
  <c r="R8"/>
  <c r="W8"/>
  <c r="Y8"/>
  <c r="F10"/>
  <c r="O10"/>
  <c r="P10"/>
  <c r="U10"/>
  <c r="Q10"/>
  <c r="V10"/>
  <c r="L10"/>
  <c r="G10"/>
  <c r="R10"/>
  <c r="W10"/>
  <c r="Y10"/>
  <c r="F11"/>
  <c r="O11"/>
  <c r="P11"/>
  <c r="U11"/>
  <c r="Q11"/>
  <c r="V11"/>
  <c r="L11"/>
  <c r="G11"/>
  <c r="R11"/>
  <c r="W11"/>
  <c r="Y11"/>
  <c r="F12"/>
  <c r="O12"/>
  <c r="P12"/>
  <c r="U12"/>
  <c r="Q12"/>
  <c r="V12"/>
  <c r="L12"/>
  <c r="G12"/>
  <c r="R12"/>
  <c r="W12"/>
  <c r="Y12"/>
  <c r="F13"/>
  <c r="O13"/>
  <c r="P13"/>
  <c r="U13"/>
  <c r="Q13"/>
  <c r="V13"/>
  <c r="L13"/>
  <c r="G13"/>
  <c r="R13"/>
  <c r="W13"/>
  <c r="Y13"/>
  <c r="F20"/>
  <c r="O20"/>
  <c r="P20"/>
  <c r="U20"/>
  <c r="Q20"/>
  <c r="V20"/>
  <c r="L20"/>
  <c r="G20"/>
  <c r="R20"/>
  <c r="W20"/>
  <c r="Y20"/>
  <c r="F21"/>
  <c r="O21"/>
  <c r="P21"/>
  <c r="U21"/>
  <c r="Q21"/>
  <c r="V21"/>
  <c r="L21"/>
  <c r="G21"/>
  <c r="R21"/>
  <c r="W21"/>
  <c r="Y21"/>
  <c r="L22"/>
  <c r="F22"/>
  <c r="G22"/>
  <c r="R22"/>
  <c r="W22"/>
  <c r="O22"/>
  <c r="P22"/>
  <c r="U22"/>
  <c r="Q22"/>
  <c r="V22"/>
  <c r="Y22"/>
  <c r="F23"/>
  <c r="O23"/>
  <c r="P23"/>
  <c r="U23"/>
  <c r="Q23"/>
  <c r="V23"/>
  <c r="L23"/>
  <c r="G23"/>
  <c r="R23"/>
  <c r="W23"/>
  <c r="Y23"/>
  <c r="Q24"/>
  <c r="V24"/>
  <c r="L24"/>
  <c r="G24"/>
  <c r="R24"/>
  <c r="W24"/>
  <c r="Y24"/>
  <c r="P25"/>
  <c r="U25"/>
  <c r="Q25"/>
  <c r="V25"/>
  <c r="L25"/>
  <c r="G25"/>
  <c r="R25"/>
  <c r="W25"/>
  <c r="Y25"/>
  <c r="F26"/>
  <c r="O26"/>
  <c r="P26"/>
  <c r="U26"/>
  <c r="Q26"/>
  <c r="V26"/>
  <c r="L26"/>
  <c r="G26"/>
  <c r="R26"/>
  <c r="W26"/>
  <c r="Y26"/>
  <c r="S23"/>
  <c r="S24"/>
  <c r="S25"/>
  <c r="S21"/>
  <c r="S26"/>
  <c r="S22"/>
  <c r="S20"/>
  <c r="S13"/>
  <c r="S12"/>
  <c r="S11"/>
  <c r="S10"/>
  <c r="S9"/>
  <c r="S8"/>
  <c r="S7"/>
  <c r="U7" i="16"/>
  <c r="U8"/>
  <c r="U9"/>
  <c r="U10"/>
  <c r="U11"/>
  <c r="U12"/>
  <c r="U13"/>
</calcChain>
</file>

<file path=xl/sharedStrings.xml><?xml version="1.0" encoding="utf-8"?>
<sst xmlns="http://schemas.openxmlformats.org/spreadsheetml/2006/main" count="190" uniqueCount="66">
  <si>
    <t>Layer</t>
  </si>
  <si>
    <t>p</t>
  </si>
  <si>
    <t>n</t>
  </si>
  <si>
    <t xml:space="preserve">C/L </t>
  </si>
  <si>
    <t>Rs/L</t>
  </si>
  <si>
    <t># of barrel sensors in readout module</t>
  </si>
  <si>
    <t># of  sensors in readout module</t>
  </si>
  <si>
    <t xml:space="preserve">Barrel module strip length  </t>
  </si>
  <si>
    <t xml:space="preserve">Total module strip length  </t>
  </si>
  <si>
    <t>Sensorside</t>
  </si>
  <si>
    <t>Readout pitch</t>
  </si>
  <si>
    <t>Barrel sensor length</t>
  </si>
  <si>
    <t>Total strip volume</t>
  </si>
  <si>
    <t xml:space="preserve">Total leakage current </t>
  </si>
  <si>
    <r>
      <t xml:space="preserve">n-equiv. fluence  </t>
    </r>
    <r>
      <rPr>
        <b/>
        <i/>
        <sz val="14"/>
        <color theme="1"/>
        <rFont val="Arial"/>
      </rPr>
      <t xml:space="preserve"> Φ</t>
    </r>
  </si>
  <si>
    <r>
      <t>4a</t>
    </r>
    <r>
      <rPr>
        <sz val="20"/>
        <color rgb="FF0000FF"/>
        <rFont val="Calibri"/>
        <family val="2"/>
      </rPr>
      <t xml:space="preserve"> </t>
    </r>
  </si>
  <si>
    <r>
      <t>4b</t>
    </r>
    <r>
      <rPr>
        <sz val="20"/>
        <color rgb="FF0000FF"/>
        <rFont val="Calibri"/>
        <family val="2"/>
      </rPr>
      <t xml:space="preserve"> </t>
    </r>
  </si>
  <si>
    <r>
      <t>5a</t>
    </r>
    <r>
      <rPr>
        <sz val="20"/>
        <color rgb="FF0000FF"/>
        <rFont val="Calibri"/>
        <family val="2"/>
      </rPr>
      <t xml:space="preserve"> </t>
    </r>
  </si>
  <si>
    <r>
      <t>5b</t>
    </r>
    <r>
      <rPr>
        <sz val="20"/>
        <color rgb="FF0000FF"/>
        <rFont val="Calibri"/>
        <family val="2"/>
      </rPr>
      <t xml:space="preserve"> </t>
    </r>
  </si>
  <si>
    <t>α</t>
  </si>
  <si>
    <t xml:space="preserve"> Factor</t>
  </si>
  <si>
    <t>Safety</t>
  </si>
  <si>
    <t>Shaping time</t>
  </si>
  <si>
    <t>ENC from Rs</t>
  </si>
  <si>
    <t>T</t>
  </si>
  <si>
    <t>ENC from Rbias</t>
  </si>
  <si>
    <t>ENC from I_leak</t>
  </si>
  <si>
    <t xml:space="preserve">Radiation induced current / volume </t>
  </si>
  <si>
    <t>Barrel sensor width</t>
  </si>
  <si>
    <r>
      <rPr>
        <i/>
        <sz val="14"/>
        <color theme="1"/>
        <rFont val="Arial"/>
      </rPr>
      <t>I</t>
    </r>
    <r>
      <rPr>
        <sz val="14"/>
        <color theme="1"/>
        <rFont val="Arial"/>
      </rPr>
      <t>_leak/</t>
    </r>
    <r>
      <rPr>
        <i/>
        <sz val="14"/>
        <color theme="1"/>
        <rFont val="Arial"/>
      </rPr>
      <t>L</t>
    </r>
  </si>
  <si>
    <r>
      <t xml:space="preserve">Total </t>
    </r>
    <r>
      <rPr>
        <b/>
        <i/>
        <sz val="14"/>
        <color theme="1"/>
        <rFont val="Arial"/>
      </rPr>
      <t>C</t>
    </r>
  </si>
  <si>
    <r>
      <t xml:space="preserve">Total </t>
    </r>
    <r>
      <rPr>
        <b/>
        <i/>
        <sz val="14"/>
        <color theme="1"/>
        <rFont val="Arial"/>
      </rPr>
      <t>Rs</t>
    </r>
    <r>
      <rPr>
        <b/>
        <sz val="14"/>
        <color theme="1"/>
        <rFont val="Arial"/>
      </rPr>
      <t xml:space="preserve"> </t>
    </r>
  </si>
  <si>
    <r>
      <t xml:space="preserve">Total </t>
    </r>
    <r>
      <rPr>
        <b/>
        <i/>
        <sz val="14"/>
        <color theme="1"/>
        <rFont val="Arial"/>
      </rPr>
      <t>R</t>
    </r>
    <r>
      <rPr>
        <b/>
        <sz val="14"/>
        <color theme="1"/>
        <rFont val="Arial"/>
      </rPr>
      <t xml:space="preserve">_bias </t>
    </r>
  </si>
  <si>
    <r>
      <t xml:space="preserve">Voltage drop on </t>
    </r>
    <r>
      <rPr>
        <b/>
        <i/>
        <sz val="14"/>
        <color theme="1"/>
        <rFont val="Arial"/>
      </rPr>
      <t>R</t>
    </r>
    <r>
      <rPr>
        <b/>
        <sz val="14"/>
        <color theme="1"/>
        <rFont val="Arial"/>
      </rPr>
      <t xml:space="preserve">_bias </t>
    </r>
  </si>
  <si>
    <r>
      <t>ENC from</t>
    </r>
    <r>
      <rPr>
        <b/>
        <i/>
        <sz val="14"/>
        <color theme="1"/>
        <rFont val="Arial"/>
      </rPr>
      <t xml:space="preserve"> R</t>
    </r>
    <r>
      <rPr>
        <b/>
        <sz val="14"/>
        <color theme="1"/>
        <rFont val="Arial"/>
      </rPr>
      <t>s</t>
    </r>
  </si>
  <si>
    <r>
      <t xml:space="preserve">ENC from </t>
    </r>
    <r>
      <rPr>
        <b/>
        <i/>
        <sz val="14"/>
        <color theme="1"/>
        <rFont val="Arial"/>
      </rPr>
      <t>R</t>
    </r>
    <r>
      <rPr>
        <b/>
        <sz val="14"/>
        <color theme="1"/>
        <rFont val="Arial"/>
      </rPr>
      <t>_bias</t>
    </r>
  </si>
  <si>
    <r>
      <t xml:space="preserve">ENC from </t>
    </r>
    <r>
      <rPr>
        <b/>
        <i/>
        <sz val="14"/>
        <color theme="1"/>
        <rFont val="Arial"/>
      </rPr>
      <t>I</t>
    </r>
    <r>
      <rPr>
        <b/>
        <sz val="14"/>
        <color theme="1"/>
        <rFont val="Arial"/>
      </rPr>
      <t>_leak</t>
    </r>
  </si>
  <si>
    <r>
      <t xml:space="preserve">Max Fanout </t>
    </r>
    <r>
      <rPr>
        <b/>
        <i/>
        <sz val="14"/>
        <color theme="1"/>
        <rFont val="Arial"/>
      </rPr>
      <t>C</t>
    </r>
  </si>
  <si>
    <r>
      <t xml:space="preserve">Max Fanout </t>
    </r>
    <r>
      <rPr>
        <b/>
        <i/>
        <sz val="14"/>
        <color theme="1"/>
        <rFont val="Arial"/>
      </rPr>
      <t>Rs</t>
    </r>
  </si>
  <si>
    <t># max ganging multipli- city</t>
  </si>
  <si>
    <r>
      <t xml:space="preserve">Poly- silicon  </t>
    </r>
    <r>
      <rPr>
        <b/>
        <i/>
        <sz val="14"/>
        <color theme="1"/>
        <rFont val="Arial"/>
      </rPr>
      <t>R</t>
    </r>
    <r>
      <rPr>
        <b/>
        <sz val="14"/>
        <color theme="1"/>
        <rFont val="Arial"/>
      </rPr>
      <t>_bias</t>
    </r>
  </si>
  <si>
    <t>(A/cm)</t>
  </si>
  <si>
    <t>(K)</t>
  </si>
  <si>
    <t>(µm)</t>
  </si>
  <si>
    <t>(cm)</t>
  </si>
  <si>
    <t>(cm^3)</t>
  </si>
  <si>
    <t>(pF/cm)</t>
  </si>
  <si>
    <t>(ohm/cm)</t>
  </si>
  <si>
    <t>(Mohm)</t>
  </si>
  <si>
    <t>(cm^-2)</t>
  </si>
  <si>
    <t>(nA/cm^3)</t>
  </si>
  <si>
    <t>(pF)</t>
  </si>
  <si>
    <t>(ohm)</t>
  </si>
  <si>
    <t>(nA)</t>
  </si>
  <si>
    <t>(mV)</t>
  </si>
  <si>
    <t>(ns)</t>
  </si>
  <si>
    <t>(e)</t>
  </si>
  <si>
    <t>Pairing multipli- city</t>
  </si>
  <si>
    <t>1x1</t>
  </si>
  <si>
    <t>1x2</t>
  </si>
  <si>
    <t>2x1</t>
  </si>
  <si>
    <t>2x2</t>
  </si>
  <si>
    <t>3x1</t>
  </si>
  <si>
    <t>3x2</t>
  </si>
  <si>
    <t>3x3</t>
  </si>
  <si>
    <t>ENC from Rs               + Rbias        + I_leak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</si>
</sst>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E+00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</font>
    <font>
      <sz val="14"/>
      <color rgb="FF0000FF"/>
      <name val="Arial"/>
    </font>
    <font>
      <sz val="14"/>
      <color theme="1"/>
      <name val="Arial"/>
    </font>
    <font>
      <b/>
      <i/>
      <sz val="14"/>
      <color theme="1"/>
      <name val="Arial"/>
    </font>
    <font>
      <sz val="20"/>
      <color rgb="FF0000FF"/>
      <name val="Calibri"/>
      <family val="2"/>
    </font>
    <font>
      <i/>
      <sz val="14"/>
      <color theme="1"/>
      <name val="Arial"/>
    </font>
    <font>
      <sz val="14"/>
      <color rgb="FF000000"/>
      <name val="Arial"/>
    </font>
    <font>
      <i/>
      <sz val="14"/>
      <color theme="1"/>
      <name val="Symbol"/>
    </font>
    <font>
      <sz val="14"/>
      <color rgb="FFFF0000"/>
      <name val="Arial"/>
    </font>
    <font>
      <sz val="14"/>
      <color theme="1"/>
      <name val="Calibri"/>
      <family val="2"/>
      <scheme val="minor"/>
    </font>
    <font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B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A"/>
        <bgColor rgb="FF000000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readingOrder="1"/>
    </xf>
    <xf numFmtId="0" fontId="0" fillId="0" borderId="0" xfId="0" applyBorder="1" applyAlignment="1">
      <alignment horizontal="center" readingOrder="1"/>
    </xf>
    <xf numFmtId="2" fontId="0" fillId="0" borderId="0" xfId="0" applyNumberFormat="1" applyAlignment="1">
      <alignment horizontal="center" readingOrder="1"/>
    </xf>
    <xf numFmtId="2" fontId="0" fillId="0" borderId="0" xfId="0" applyNumberFormat="1" applyFill="1" applyAlignment="1">
      <alignment horizontal="center" readingOrder="1"/>
    </xf>
    <xf numFmtId="164" fontId="0" fillId="0" borderId="0" xfId="0" applyNumberFormat="1" applyAlignment="1">
      <alignment horizontal="center" readingOrder="1"/>
    </xf>
    <xf numFmtId="165" fontId="0" fillId="0" borderId="0" xfId="0" applyNumberFormat="1" applyAlignment="1">
      <alignment horizontal="center" readingOrder="1"/>
    </xf>
    <xf numFmtId="164" fontId="0" fillId="0" borderId="0" xfId="0" applyNumberFormat="1" applyBorder="1" applyAlignment="1">
      <alignment horizontal="center" readingOrder="1"/>
    </xf>
    <xf numFmtId="2" fontId="0" fillId="0" borderId="0" xfId="0" applyNumberFormat="1" applyBorder="1" applyAlignment="1">
      <alignment horizontal="center" readingOrder="1"/>
    </xf>
    <xf numFmtId="2" fontId="0" fillId="0" borderId="0" xfId="0" applyNumberFormat="1" applyFill="1" applyBorder="1" applyAlignment="1">
      <alignment horizontal="center" readingOrder="1"/>
    </xf>
    <xf numFmtId="1" fontId="0" fillId="0" borderId="0" xfId="0" applyNumberFormat="1" applyBorder="1" applyAlignment="1">
      <alignment horizontal="center" readingOrder="1"/>
    </xf>
    <xf numFmtId="1" fontId="0" fillId="0" borderId="0" xfId="0" applyNumberFormat="1" applyAlignment="1">
      <alignment horizontal="center" readingOrder="1"/>
    </xf>
    <xf numFmtId="165" fontId="0" fillId="0" borderId="0" xfId="0" applyNumberFormat="1" applyBorder="1" applyAlignment="1">
      <alignment horizontal="center" readingOrder="1"/>
    </xf>
    <xf numFmtId="0" fontId="0" fillId="0" borderId="0" xfId="0" applyFont="1" applyAlignment="1">
      <alignment horizontal="center" readingOrder="1"/>
    </xf>
    <xf numFmtId="2" fontId="5" fillId="0" borderId="0" xfId="0" applyNumberFormat="1" applyFont="1" applyAlignment="1">
      <alignment horizontal="center" readingOrder="1"/>
    </xf>
    <xf numFmtId="0" fontId="5" fillId="0" borderId="0" xfId="0" applyFont="1" applyAlignment="1">
      <alignment horizontal="center" readingOrder="1"/>
    </xf>
    <xf numFmtId="1" fontId="5" fillId="0" borderId="0" xfId="0" applyNumberFormat="1" applyFont="1" applyAlignment="1">
      <alignment horizontal="center" readingOrder="1"/>
    </xf>
    <xf numFmtId="165" fontId="5" fillId="0" borderId="0" xfId="0" applyNumberFormat="1" applyFont="1" applyAlignment="1">
      <alignment horizontal="center" readingOrder="1"/>
    </xf>
    <xf numFmtId="164" fontId="5" fillId="0" borderId="0" xfId="0" applyNumberFormat="1" applyFont="1" applyAlignment="1">
      <alignment horizontal="center" readingOrder="1"/>
    </xf>
    <xf numFmtId="11" fontId="5" fillId="0" borderId="0" xfId="0" applyNumberFormat="1" applyFont="1" applyAlignment="1">
      <alignment horizontal="center" readingOrder="1"/>
    </xf>
    <xf numFmtId="2" fontId="5" fillId="0" borderId="0" xfId="0" applyNumberFormat="1" applyFont="1" applyFill="1" applyAlignment="1">
      <alignment horizontal="center" readingOrder="1"/>
    </xf>
    <xf numFmtId="11" fontId="5" fillId="3" borderId="0" xfId="0" applyNumberFormat="1" applyFont="1" applyFill="1" applyAlignment="1">
      <alignment horizontal="center" readingOrder="1"/>
    </xf>
    <xf numFmtId="1" fontId="5" fillId="3" borderId="0" xfId="0" applyNumberFormat="1" applyFont="1" applyFill="1" applyAlignment="1">
      <alignment horizontal="center" readingOrder="1"/>
    </xf>
    <xf numFmtId="0" fontId="5" fillId="0" borderId="2" xfId="0" applyFont="1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wrapText="1" readingOrder="1"/>
    </xf>
    <xf numFmtId="0" fontId="4" fillId="0" borderId="2" xfId="0" applyFont="1" applyBorder="1" applyAlignment="1">
      <alignment horizontal="center" wrapText="1" readingOrder="1"/>
    </xf>
    <xf numFmtId="1" fontId="4" fillId="0" borderId="2" xfId="0" applyNumberFormat="1" applyFont="1" applyBorder="1" applyAlignment="1">
      <alignment horizontal="center" wrapText="1" readingOrder="1"/>
    </xf>
    <xf numFmtId="2" fontId="4" fillId="0" borderId="2" xfId="0" applyNumberFormat="1" applyFont="1" applyBorder="1" applyAlignment="1">
      <alignment horizontal="center" wrapText="1" readingOrder="1"/>
    </xf>
    <xf numFmtId="2" fontId="4" fillId="0" borderId="2" xfId="0" applyNumberFormat="1" applyFont="1" applyFill="1" applyBorder="1" applyAlignment="1">
      <alignment horizontal="center" wrapText="1" readingOrder="1"/>
    </xf>
    <xf numFmtId="2" fontId="4" fillId="3" borderId="2" xfId="0" applyNumberFormat="1" applyFont="1" applyFill="1" applyBorder="1" applyAlignment="1">
      <alignment horizontal="center" wrapText="1" readingOrder="1"/>
    </xf>
    <xf numFmtId="0" fontId="4" fillId="3" borderId="2" xfId="0" applyFont="1" applyFill="1" applyBorder="1" applyAlignment="1">
      <alignment horizontal="center" wrapText="1" readingOrder="1"/>
    </xf>
    <xf numFmtId="0" fontId="4" fillId="3" borderId="2" xfId="0" applyNumberFormat="1" applyFont="1" applyFill="1" applyBorder="1" applyAlignment="1">
      <alignment horizontal="center" wrapText="1" readingOrder="1"/>
    </xf>
    <xf numFmtId="1" fontId="4" fillId="0" borderId="2" xfId="0" applyNumberFormat="1" applyFont="1" applyFill="1" applyBorder="1" applyAlignment="1">
      <alignment horizontal="center" wrapText="1" readingOrder="1"/>
    </xf>
    <xf numFmtId="0" fontId="3" fillId="0" borderId="3" xfId="0" applyFont="1" applyBorder="1" applyAlignment="1">
      <alignment horizontal="center" wrapText="1" readingOrder="1"/>
    </xf>
    <xf numFmtId="164" fontId="3" fillId="0" borderId="4" xfId="0" applyNumberFormat="1" applyFont="1" applyBorder="1" applyAlignment="1">
      <alignment horizontal="center" wrapText="1" readingOrder="1"/>
    </xf>
    <xf numFmtId="1" fontId="3" fillId="0" borderId="4" xfId="0" applyNumberFormat="1" applyFont="1" applyBorder="1" applyAlignment="1">
      <alignment horizontal="center" wrapText="1" readingOrder="1"/>
    </xf>
    <xf numFmtId="0" fontId="3" fillId="0" borderId="4" xfId="0" applyFont="1" applyBorder="1" applyAlignment="1">
      <alignment horizontal="center" wrapText="1" readingOrder="1"/>
    </xf>
    <xf numFmtId="2" fontId="3" fillId="0" borderId="4" xfId="0" applyNumberFormat="1" applyFont="1" applyFill="1" applyBorder="1" applyAlignment="1">
      <alignment horizontal="center" wrapText="1" readingOrder="1"/>
    </xf>
    <xf numFmtId="2" fontId="3" fillId="0" borderId="4" xfId="0" applyNumberFormat="1" applyFont="1" applyBorder="1" applyAlignment="1">
      <alignment horizontal="center" wrapText="1" readingOrder="1"/>
    </xf>
    <xf numFmtId="2" fontId="3" fillId="2" borderId="4" xfId="0" applyNumberFormat="1" applyFont="1" applyFill="1" applyBorder="1" applyAlignment="1">
      <alignment horizontal="center" wrapText="1" readingOrder="1"/>
    </xf>
    <xf numFmtId="164" fontId="3" fillId="2" borderId="4" xfId="0" applyNumberFormat="1" applyFont="1" applyFill="1" applyBorder="1" applyAlignment="1">
      <alignment horizontal="center" wrapText="1" readingOrder="1"/>
    </xf>
    <xf numFmtId="164" fontId="3" fillId="0" borderId="4" xfId="0" applyNumberFormat="1" applyFont="1" applyFill="1" applyBorder="1" applyAlignment="1">
      <alignment horizontal="center" wrapText="1" readingOrder="1"/>
    </xf>
    <xf numFmtId="2" fontId="3" fillId="0" borderId="5" xfId="0" applyNumberFormat="1" applyFont="1" applyFill="1" applyBorder="1" applyAlignment="1">
      <alignment horizontal="center" wrapText="1" readingOrder="1"/>
    </xf>
    <xf numFmtId="0" fontId="5" fillId="0" borderId="6" xfId="0" applyFont="1" applyBorder="1" applyAlignment="1">
      <alignment horizontal="center" wrapText="1" readingOrder="1"/>
    </xf>
    <xf numFmtId="0" fontId="4" fillId="0" borderId="6" xfId="0" applyFont="1" applyBorder="1" applyAlignment="1">
      <alignment horizontal="center" wrapText="1" readingOrder="1"/>
    </xf>
    <xf numFmtId="1" fontId="4" fillId="0" borderId="7" xfId="0" applyNumberFormat="1" applyFont="1" applyFill="1" applyBorder="1" applyAlignment="1">
      <alignment horizontal="center" wrapText="1" readingOrder="1"/>
    </xf>
    <xf numFmtId="0" fontId="4" fillId="0" borderId="8" xfId="0" applyFont="1" applyBorder="1" applyAlignment="1">
      <alignment horizontal="center" wrapText="1" readingOrder="1"/>
    </xf>
    <xf numFmtId="1" fontId="4" fillId="0" borderId="9" xfId="0" applyNumberFormat="1" applyFont="1" applyBorder="1" applyAlignment="1">
      <alignment horizontal="center" wrapText="1" readingOrder="1"/>
    </xf>
    <xf numFmtId="0" fontId="4" fillId="0" borderId="9" xfId="0" applyFont="1" applyBorder="1" applyAlignment="1">
      <alignment horizontal="center" wrapText="1" readingOrder="1"/>
    </xf>
    <xf numFmtId="2" fontId="4" fillId="0" borderId="9" xfId="0" applyNumberFormat="1" applyFont="1" applyBorder="1" applyAlignment="1">
      <alignment horizontal="center" wrapText="1" readingOrder="1"/>
    </xf>
    <xf numFmtId="2" fontId="4" fillId="0" borderId="9" xfId="0" applyNumberFormat="1" applyFont="1" applyFill="1" applyBorder="1" applyAlignment="1">
      <alignment horizontal="center" wrapText="1" readingOrder="1"/>
    </xf>
    <xf numFmtId="2" fontId="4" fillId="3" borderId="9" xfId="0" applyNumberFormat="1" applyFont="1" applyFill="1" applyBorder="1" applyAlignment="1">
      <alignment horizontal="center" wrapText="1" readingOrder="1"/>
    </xf>
    <xf numFmtId="0" fontId="4" fillId="3" borderId="9" xfId="0" applyFont="1" applyFill="1" applyBorder="1" applyAlignment="1">
      <alignment horizontal="center" wrapText="1" readingOrder="1"/>
    </xf>
    <xf numFmtId="0" fontId="4" fillId="3" borderId="9" xfId="0" applyNumberFormat="1" applyFont="1" applyFill="1" applyBorder="1" applyAlignment="1">
      <alignment horizontal="center" wrapText="1" readingOrder="1"/>
    </xf>
    <xf numFmtId="1" fontId="4" fillId="0" borderId="9" xfId="0" applyNumberFormat="1" applyFont="1" applyFill="1" applyBorder="1" applyAlignment="1">
      <alignment horizontal="center" wrapText="1" readingOrder="1"/>
    </xf>
    <xf numFmtId="1" fontId="4" fillId="0" borderId="10" xfId="0" applyNumberFormat="1" applyFont="1" applyFill="1" applyBorder="1" applyAlignment="1">
      <alignment horizontal="center" wrapText="1" readingOrder="1"/>
    </xf>
    <xf numFmtId="166" fontId="4" fillId="4" borderId="2" xfId="0" applyNumberFormat="1" applyFont="1" applyFill="1" applyBorder="1" applyAlignment="1">
      <alignment horizontal="center" wrapText="1" readingOrder="1"/>
    </xf>
    <xf numFmtId="166" fontId="4" fillId="4" borderId="9" xfId="0" applyNumberFormat="1" applyFont="1" applyFill="1" applyBorder="1" applyAlignment="1">
      <alignment horizontal="center" wrapText="1" readingOrder="1"/>
    </xf>
    <xf numFmtId="164" fontId="4" fillId="0" borderId="2" xfId="0" applyNumberFormat="1" applyFont="1" applyFill="1" applyBorder="1" applyAlignment="1">
      <alignment horizontal="center" wrapText="1" readingOrder="1"/>
    </xf>
    <xf numFmtId="164" fontId="4" fillId="0" borderId="9" xfId="0" applyNumberFormat="1" applyFont="1" applyFill="1" applyBorder="1" applyAlignment="1">
      <alignment horizontal="center" wrapText="1" readingOrder="1"/>
    </xf>
    <xf numFmtId="166" fontId="4" fillId="0" borderId="2" xfId="0" applyNumberFormat="1" applyFont="1" applyFill="1" applyBorder="1" applyAlignment="1">
      <alignment horizontal="center" wrapText="1" readingOrder="1"/>
    </xf>
    <xf numFmtId="166" fontId="4" fillId="0" borderId="9" xfId="0" applyNumberFormat="1" applyFont="1" applyFill="1" applyBorder="1" applyAlignment="1">
      <alignment horizontal="center" wrapText="1" readingOrder="1"/>
    </xf>
    <xf numFmtId="166" fontId="4" fillId="0" borderId="2" xfId="0" applyNumberFormat="1" applyFont="1" applyBorder="1" applyAlignment="1">
      <alignment horizontal="center" wrapText="1" readingOrder="1"/>
    </xf>
    <xf numFmtId="166" fontId="4" fillId="0" borderId="9" xfId="0" applyNumberFormat="1" applyFont="1" applyBorder="1" applyAlignment="1">
      <alignment horizontal="center" wrapText="1" readingOrder="1"/>
    </xf>
    <xf numFmtId="0" fontId="8" fillId="0" borderId="0" xfId="0" applyFont="1" applyAlignment="1">
      <alignment horizontal="center" readingOrder="1"/>
    </xf>
    <xf numFmtId="2" fontId="6" fillId="2" borderId="4" xfId="0" applyNumberFormat="1" applyFont="1" applyFill="1" applyBorder="1" applyAlignment="1">
      <alignment horizontal="center" wrapText="1" readingOrder="1"/>
    </xf>
    <xf numFmtId="164" fontId="6" fillId="2" borderId="4" xfId="0" applyNumberFormat="1" applyFont="1" applyFill="1" applyBorder="1" applyAlignment="1">
      <alignment horizontal="center" wrapText="1" readingOrder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readingOrder="1"/>
    </xf>
    <xf numFmtId="0" fontId="5" fillId="0" borderId="6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1" fontId="4" fillId="0" borderId="2" xfId="0" applyNumberFormat="1" applyFont="1" applyBorder="1" applyAlignment="1">
      <alignment horizontal="center" vertical="center" wrapText="1" readingOrder="1"/>
    </xf>
    <xf numFmtId="2" fontId="4" fillId="0" borderId="2" xfId="0" applyNumberFormat="1" applyFont="1" applyBorder="1" applyAlignment="1">
      <alignment horizontal="center" vertical="center" wrapText="1" readingOrder="1"/>
    </xf>
    <xf numFmtId="2" fontId="4" fillId="0" borderId="2" xfId="0" applyNumberFormat="1" applyFont="1" applyFill="1" applyBorder="1" applyAlignment="1">
      <alignment horizontal="center" vertical="center" wrapText="1" readingOrder="1"/>
    </xf>
    <xf numFmtId="11" fontId="4" fillId="0" borderId="2" xfId="0" applyNumberFormat="1" applyFont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166" fontId="4" fillId="4" borderId="2" xfId="0" applyNumberFormat="1" applyFont="1" applyFill="1" applyBorder="1" applyAlignment="1">
      <alignment horizontal="center" vertical="center" wrapText="1" readingOrder="1"/>
    </xf>
    <xf numFmtId="166" fontId="4" fillId="0" borderId="2" xfId="0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1" fontId="4" fillId="0" borderId="2" xfId="0" applyNumberFormat="1" applyFont="1" applyFill="1" applyBorder="1" applyAlignment="1">
      <alignment horizontal="center" vertical="center" wrapText="1" readingOrder="1"/>
    </xf>
    <xf numFmtId="1" fontId="4" fillId="0" borderId="7" xfId="0" applyNumberFormat="1" applyFont="1" applyFill="1" applyBorder="1" applyAlignment="1">
      <alignment horizontal="center" vertical="center" wrapText="1" readingOrder="1"/>
    </xf>
    <xf numFmtId="2" fontId="4" fillId="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readingOrder="1"/>
    </xf>
    <xf numFmtId="0" fontId="4" fillId="0" borderId="8" xfId="0" applyFont="1" applyBorder="1" applyAlignment="1">
      <alignment horizontal="center" vertical="center" wrapText="1" readingOrder="1"/>
    </xf>
    <xf numFmtId="1" fontId="4" fillId="0" borderId="9" xfId="0" applyNumberFormat="1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2" fontId="4" fillId="0" borderId="9" xfId="0" applyNumberFormat="1" applyFont="1" applyBorder="1" applyAlignment="1">
      <alignment horizontal="center" vertical="center" wrapText="1" readingOrder="1"/>
    </xf>
    <xf numFmtId="2" fontId="4" fillId="0" borderId="9" xfId="0" applyNumberFormat="1" applyFont="1" applyFill="1" applyBorder="1" applyAlignment="1">
      <alignment horizontal="center" vertical="center" wrapText="1" readingOrder="1"/>
    </xf>
    <xf numFmtId="11" fontId="4" fillId="0" borderId="9" xfId="0" applyNumberFormat="1" applyFont="1" applyBorder="1" applyAlignment="1">
      <alignment horizontal="center" vertical="center" wrapText="1" readingOrder="1"/>
    </xf>
    <xf numFmtId="2" fontId="4" fillId="5" borderId="12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3" borderId="9" xfId="0" applyNumberFormat="1" applyFont="1" applyFill="1" applyBorder="1" applyAlignment="1">
      <alignment horizontal="center" vertical="center" wrapText="1" readingOrder="1"/>
    </xf>
    <xf numFmtId="166" fontId="4" fillId="4" borderId="9" xfId="0" applyNumberFormat="1" applyFont="1" applyFill="1" applyBorder="1" applyAlignment="1">
      <alignment horizontal="center" vertical="center" wrapText="1" readingOrder="1"/>
    </xf>
    <xf numFmtId="166" fontId="4" fillId="0" borderId="9" xfId="0" applyNumberFormat="1" applyFont="1" applyFill="1" applyBorder="1" applyAlignment="1">
      <alignment horizontal="center" vertical="center" wrapText="1" readingOrder="1"/>
    </xf>
    <xf numFmtId="164" fontId="4" fillId="0" borderId="9" xfId="0" applyNumberFormat="1" applyFont="1" applyFill="1" applyBorder="1" applyAlignment="1">
      <alignment horizontal="center" vertical="center" wrapText="1" readingOrder="1"/>
    </xf>
    <xf numFmtId="1" fontId="4" fillId="0" borderId="9" xfId="0" applyNumberFormat="1" applyFont="1" applyFill="1" applyBorder="1" applyAlignment="1">
      <alignment horizontal="center" vertical="center" wrapText="1" readingOrder="1"/>
    </xf>
    <xf numFmtId="1" fontId="4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readingOrder="1"/>
    </xf>
    <xf numFmtId="2" fontId="0" fillId="0" borderId="0" xfId="0" applyNumberFormat="1" applyBorder="1" applyAlignment="1">
      <alignment horizontal="center" vertical="center" readingOrder="1"/>
    </xf>
    <xf numFmtId="1" fontId="0" fillId="0" borderId="0" xfId="0" applyNumberFormat="1" applyBorder="1" applyAlignment="1">
      <alignment horizontal="center" vertical="center" readingOrder="1"/>
    </xf>
    <xf numFmtId="165" fontId="0" fillId="0" borderId="0" xfId="0" applyNumberFormat="1" applyBorder="1" applyAlignment="1">
      <alignment horizontal="center" vertical="center" readingOrder="1"/>
    </xf>
    <xf numFmtId="164" fontId="0" fillId="0" borderId="0" xfId="0" applyNumberFormat="1" applyBorder="1" applyAlignment="1">
      <alignment horizontal="center" vertical="center" readingOrder="1"/>
    </xf>
    <xf numFmtId="2" fontId="0" fillId="0" borderId="0" xfId="0" applyNumberFormat="1" applyFill="1" applyBorder="1" applyAlignment="1">
      <alignment horizontal="center" vertical="center" readingOrder="1"/>
    </xf>
    <xf numFmtId="2" fontId="0" fillId="0" borderId="0" xfId="0" applyNumberFormat="1" applyFill="1" applyAlignment="1">
      <alignment horizontal="center" vertical="center" readingOrder="1"/>
    </xf>
    <xf numFmtId="2" fontId="0" fillId="0" borderId="0" xfId="0" applyNumberFormat="1" applyAlignment="1">
      <alignment horizontal="center" vertical="center" readingOrder="1"/>
    </xf>
    <xf numFmtId="1" fontId="0" fillId="0" borderId="0" xfId="0" applyNumberFormat="1" applyAlignment="1">
      <alignment horizontal="center" vertical="center" readingOrder="1"/>
    </xf>
    <xf numFmtId="165" fontId="0" fillId="0" borderId="0" xfId="0" applyNumberFormat="1" applyAlignment="1">
      <alignment horizontal="center" vertical="center" readingOrder="1"/>
    </xf>
    <xf numFmtId="164" fontId="0" fillId="0" borderId="0" xfId="0" applyNumberFormat="1" applyAlignment="1">
      <alignment horizontal="center" vertical="center" readingOrder="1"/>
    </xf>
    <xf numFmtId="0" fontId="0" fillId="0" borderId="1" xfId="0" applyBorder="1" applyAlignment="1">
      <alignment horizontal="center" vertical="center" readingOrder="1"/>
    </xf>
    <xf numFmtId="1" fontId="11" fillId="0" borderId="2" xfId="0" applyNumberFormat="1" applyFont="1" applyBorder="1" applyAlignment="1">
      <alignment horizontal="center" wrapText="1" readingOrder="1"/>
    </xf>
    <xf numFmtId="1" fontId="12" fillId="0" borderId="0" xfId="0" applyNumberFormat="1" applyFont="1" applyAlignment="1">
      <alignment horizontal="center" readingOrder="1"/>
    </xf>
    <xf numFmtId="2" fontId="12" fillId="0" borderId="0" xfId="0" applyNumberFormat="1" applyFont="1" applyAlignment="1">
      <alignment horizontal="center" readingOrder="1"/>
    </xf>
    <xf numFmtId="0" fontId="12" fillId="0" borderId="0" xfId="0" applyFont="1" applyAlignment="1">
      <alignment horizontal="center" readingOrder="1"/>
    </xf>
    <xf numFmtId="1" fontId="12" fillId="0" borderId="0" xfId="0" applyNumberFormat="1" applyFont="1" applyBorder="1" applyAlignment="1">
      <alignment horizontal="center" readingOrder="1"/>
    </xf>
    <xf numFmtId="0" fontId="5" fillId="0" borderId="7" xfId="0" applyFont="1" applyFill="1" applyBorder="1" applyAlignment="1">
      <alignment horizontal="center" wrapText="1" readingOrder="1"/>
    </xf>
    <xf numFmtId="1" fontId="13" fillId="0" borderId="2" xfId="0" applyNumberFormat="1" applyFont="1" applyFill="1" applyBorder="1" applyAlignment="1">
      <alignment horizontal="center" wrapText="1" readingOrder="1"/>
    </xf>
    <xf numFmtId="164" fontId="13" fillId="0" borderId="2" xfId="0" applyNumberFormat="1" applyFont="1" applyFill="1" applyBorder="1" applyAlignment="1">
      <alignment horizontal="center" wrapText="1" readingOrder="1"/>
    </xf>
    <xf numFmtId="0" fontId="5" fillId="0" borderId="7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wrapText="1" readingOrder="1"/>
    </xf>
    <xf numFmtId="0" fontId="4" fillId="6" borderId="2" xfId="0" applyFont="1" applyFill="1" applyBorder="1" applyAlignment="1">
      <alignment horizontal="center" wrapText="1" readingOrder="1"/>
    </xf>
    <xf numFmtId="1" fontId="4" fillId="6" borderId="2" xfId="0" applyNumberFormat="1" applyFont="1" applyFill="1" applyBorder="1" applyAlignment="1">
      <alignment horizontal="center" wrapText="1" readingOrder="1"/>
    </xf>
    <xf numFmtId="2" fontId="4" fillId="6" borderId="2" xfId="0" applyNumberFormat="1" applyFont="1" applyFill="1" applyBorder="1" applyAlignment="1">
      <alignment horizontal="center" wrapText="1" readingOrder="1"/>
    </xf>
    <xf numFmtId="166" fontId="4" fillId="6" borderId="2" xfId="0" applyNumberFormat="1" applyFont="1" applyFill="1" applyBorder="1" applyAlignment="1">
      <alignment horizontal="center" wrapText="1" readingOrder="1"/>
    </xf>
    <xf numFmtId="0" fontId="4" fillId="6" borderId="2" xfId="0" applyNumberFormat="1" applyFont="1" applyFill="1" applyBorder="1" applyAlignment="1">
      <alignment horizontal="center" wrapText="1" readingOrder="1"/>
    </xf>
    <xf numFmtId="164" fontId="4" fillId="6" borderId="2" xfId="0" applyNumberFormat="1" applyFont="1" applyFill="1" applyBorder="1" applyAlignment="1">
      <alignment horizontal="center" wrapText="1" readingOrder="1"/>
    </xf>
    <xf numFmtId="1" fontId="4" fillId="6" borderId="7" xfId="0" applyNumberFormat="1" applyFont="1" applyFill="1" applyBorder="1" applyAlignment="1">
      <alignment horizontal="center" wrapText="1" readingOrder="1"/>
    </xf>
    <xf numFmtId="0" fontId="12" fillId="6" borderId="0" xfId="0" applyFont="1" applyFill="1" applyAlignment="1">
      <alignment horizontal="center" readingOrder="1"/>
    </xf>
    <xf numFmtId="0" fontId="4" fillId="0" borderId="0" xfId="0" applyFont="1" applyBorder="1" applyAlignment="1">
      <alignment horizontal="center" wrapText="1" readingOrder="1"/>
    </xf>
    <xf numFmtId="1" fontId="4" fillId="0" borderId="0" xfId="0" applyNumberFormat="1" applyFont="1" applyBorder="1" applyAlignment="1">
      <alignment horizontal="center" wrapText="1" readingOrder="1"/>
    </xf>
    <xf numFmtId="2" fontId="4" fillId="0" borderId="0" xfId="0" applyNumberFormat="1" applyFont="1" applyBorder="1" applyAlignment="1">
      <alignment horizontal="center" wrapText="1" readingOrder="1"/>
    </xf>
    <xf numFmtId="2" fontId="4" fillId="0" borderId="0" xfId="0" applyNumberFormat="1" applyFont="1" applyFill="1" applyBorder="1" applyAlignment="1">
      <alignment horizontal="center" wrapText="1" readingOrder="1"/>
    </xf>
    <xf numFmtId="166" fontId="4" fillId="0" borderId="0" xfId="0" applyNumberFormat="1" applyFont="1" applyFill="1" applyBorder="1" applyAlignment="1">
      <alignment horizontal="center" wrapText="1" readingOrder="1"/>
    </xf>
    <xf numFmtId="164" fontId="4" fillId="0" borderId="0" xfId="0" applyNumberFormat="1" applyFont="1" applyFill="1" applyBorder="1" applyAlignment="1">
      <alignment horizontal="center" wrapText="1" readingOrder="1"/>
    </xf>
    <xf numFmtId="1" fontId="4" fillId="0" borderId="0" xfId="0" applyNumberFormat="1" applyFont="1" applyFill="1" applyBorder="1" applyAlignment="1">
      <alignment horizontal="center" wrapText="1" readingOrder="1"/>
    </xf>
    <xf numFmtId="0" fontId="4" fillId="0" borderId="0" xfId="0" applyFont="1" applyFill="1" applyBorder="1" applyAlignment="1">
      <alignment horizontal="center" wrapText="1" readingOrder="1"/>
    </xf>
    <xf numFmtId="0" fontId="4" fillId="0" borderId="0" xfId="0" applyNumberFormat="1" applyFont="1" applyFill="1" applyBorder="1" applyAlignment="1">
      <alignment horizontal="center" wrapText="1" readingOrder="1"/>
    </xf>
  </cellXfs>
  <cellStyles count="2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workbookViewId="0">
      <pane xSplit="1" topLeftCell="B1" activePane="topRight" state="frozen"/>
      <selection pane="topRight" activeCell="B14" sqref="B14"/>
    </sheetView>
  </sheetViews>
  <sheetFormatPr defaultColWidth="8.85546875" defaultRowHeight="15"/>
  <cols>
    <col min="1" max="1" width="12.42578125" style="1" customWidth="1"/>
    <col min="2" max="2" width="11.28515625" style="1" customWidth="1"/>
    <col min="3" max="3" width="12.140625" style="1" customWidth="1"/>
    <col min="4" max="4" width="17.7109375" style="1" customWidth="1"/>
    <col min="5" max="5" width="17.85546875" style="1" customWidth="1"/>
    <col min="6" max="6" width="12.42578125" style="3" customWidth="1"/>
    <col min="7" max="7" width="13" style="1" customWidth="1"/>
    <col min="8" max="8" width="10" style="1" customWidth="1"/>
    <col min="9" max="9" width="12.5703125" style="1" customWidth="1"/>
    <col min="10" max="10" width="9.7109375" style="1" customWidth="1"/>
    <col min="11" max="11" width="10.7109375" style="3" customWidth="1"/>
    <col min="12" max="12" width="10.7109375" style="11" customWidth="1"/>
    <col min="13" max="13" width="11.85546875" style="11" customWidth="1"/>
    <col min="14" max="14" width="15.140625" style="6" customWidth="1"/>
    <col min="15" max="15" width="11" style="6" customWidth="1"/>
    <col min="16" max="16" width="9" style="6" customWidth="1"/>
    <col min="17" max="17" width="8.85546875" style="11" customWidth="1"/>
    <col min="18" max="18" width="8.7109375" style="5" customWidth="1"/>
    <col min="19" max="19" width="8.140625" style="11" customWidth="1"/>
    <col min="20" max="20" width="11.7109375" style="11" customWidth="1"/>
    <col min="21" max="21" width="11.7109375" style="3" customWidth="1"/>
    <col min="22" max="22" width="10.42578125" style="5" customWidth="1"/>
    <col min="23" max="23" width="9.140625" style="4" customWidth="1"/>
    <col min="24" max="24" width="11.42578125" style="4" customWidth="1"/>
    <col min="25" max="25" width="9.7109375" style="11" customWidth="1"/>
    <col min="26" max="26" width="2.7109375" style="11" customWidth="1"/>
    <col min="27" max="27" width="11" style="3" customWidth="1"/>
    <col min="28" max="28" width="12.85546875" style="3" customWidth="1"/>
    <col min="29" max="29" width="10.7109375" style="1" bestFit="1" customWidth="1"/>
    <col min="30" max="30" width="8.85546875" style="1"/>
    <col min="31" max="31" width="10.140625" style="1" customWidth="1"/>
    <col min="32" max="32" width="16.28515625" style="1" customWidth="1"/>
    <col min="33" max="33" width="9.7109375" style="1" customWidth="1"/>
    <col min="34" max="34" width="16.42578125" style="1" customWidth="1"/>
    <col min="35" max="35" width="8.85546875" style="1"/>
    <col min="36" max="36" width="10.42578125" style="1" customWidth="1"/>
    <col min="37" max="37" width="11.28515625" style="1" customWidth="1"/>
    <col min="38" max="38" width="11" style="1" customWidth="1"/>
    <col min="39" max="39" width="13.28515625" style="1" customWidth="1"/>
    <col min="40" max="42" width="12.85546875" style="1" customWidth="1"/>
    <col min="43" max="43" width="14.42578125" style="1" customWidth="1"/>
    <col min="44" max="46" width="12.85546875" style="1" customWidth="1"/>
    <col min="47" max="47" width="14.42578125" style="1" customWidth="1"/>
    <col min="48" max="48" width="8.85546875" style="1"/>
    <col min="49" max="49" width="8.85546875" style="3"/>
    <col min="50" max="16384" width="8.85546875" style="1"/>
  </cols>
  <sheetData>
    <row r="1" spans="1:49" s="15" customFormat="1" ht="18.75">
      <c r="F1" s="15" t="s">
        <v>29</v>
      </c>
      <c r="G1" s="68" t="s">
        <v>19</v>
      </c>
      <c r="I1" s="15" t="s">
        <v>21</v>
      </c>
      <c r="K1" s="64" t="s">
        <v>24</v>
      </c>
      <c r="L1" s="16"/>
      <c r="M1" s="16"/>
      <c r="N1" s="17"/>
      <c r="O1" s="17"/>
      <c r="P1" s="17"/>
      <c r="Q1" s="16"/>
      <c r="R1" s="18"/>
      <c r="S1" s="16"/>
      <c r="T1" s="16"/>
      <c r="U1" s="14"/>
      <c r="V1" s="18"/>
      <c r="W1" s="20"/>
      <c r="X1" s="20"/>
      <c r="Y1" s="16"/>
      <c r="Z1" s="16"/>
      <c r="AA1" s="14"/>
      <c r="AB1" s="14"/>
      <c r="AW1" s="14"/>
    </row>
    <row r="2" spans="1:49" ht="18">
      <c r="E2" s="15"/>
      <c r="F2" s="15" t="s">
        <v>41</v>
      </c>
      <c r="G2" s="15" t="s">
        <v>41</v>
      </c>
      <c r="H2" s="19"/>
      <c r="I2" s="14" t="s">
        <v>20</v>
      </c>
      <c r="J2" s="15"/>
      <c r="K2" s="14" t="s">
        <v>42</v>
      </c>
      <c r="M2" s="16"/>
      <c r="N2" s="17"/>
      <c r="O2" s="17"/>
      <c r="P2" s="17"/>
      <c r="Q2" s="16"/>
      <c r="R2" s="18"/>
      <c r="S2" s="16"/>
      <c r="T2" s="16"/>
      <c r="U2" s="14"/>
      <c r="V2" s="18"/>
    </row>
    <row r="3" spans="1:49" ht="18">
      <c r="E3" s="21"/>
      <c r="F3" s="21">
        <v>2.0000000000000001E-9</v>
      </c>
      <c r="G3" s="21">
        <v>4.0000000000000003E-17</v>
      </c>
      <c r="H3" s="15"/>
      <c r="I3" s="22">
        <v>5</v>
      </c>
      <c r="J3" s="15"/>
      <c r="K3" s="22">
        <v>300</v>
      </c>
      <c r="L3" s="16"/>
      <c r="M3" s="16"/>
      <c r="N3" s="17"/>
      <c r="O3" s="17"/>
      <c r="P3" s="17"/>
      <c r="Q3" s="16"/>
      <c r="R3" s="18"/>
      <c r="S3" s="16"/>
      <c r="T3" s="16"/>
      <c r="U3" s="14"/>
      <c r="V3" s="18"/>
    </row>
    <row r="4" spans="1:49" ht="18.75" thickBot="1">
      <c r="F4" s="14"/>
      <c r="G4" s="15"/>
      <c r="H4" s="15"/>
      <c r="I4" s="15"/>
      <c r="J4" s="15"/>
      <c r="K4" s="14"/>
      <c r="L4" s="16"/>
      <c r="M4" s="16"/>
      <c r="N4" s="17"/>
      <c r="O4" s="17"/>
      <c r="P4" s="17"/>
      <c r="Q4" s="16"/>
      <c r="R4" s="18"/>
      <c r="S4" s="16"/>
      <c r="T4" s="16"/>
      <c r="U4" s="14"/>
      <c r="V4" s="18"/>
    </row>
    <row r="5" spans="1:49" ht="77.25" customHeight="1">
      <c r="A5" s="33" t="s">
        <v>0</v>
      </c>
      <c r="B5" s="34" t="s">
        <v>9</v>
      </c>
      <c r="C5" s="35" t="s">
        <v>10</v>
      </c>
      <c r="D5" s="36" t="s">
        <v>5</v>
      </c>
      <c r="E5" s="36" t="s">
        <v>6</v>
      </c>
      <c r="F5" s="36" t="s">
        <v>11</v>
      </c>
      <c r="G5" s="37" t="s">
        <v>7</v>
      </c>
      <c r="H5" s="37" t="s">
        <v>8</v>
      </c>
      <c r="I5" s="38" t="s">
        <v>12</v>
      </c>
      <c r="J5" s="65" t="s">
        <v>3</v>
      </c>
      <c r="K5" s="66" t="s">
        <v>4</v>
      </c>
      <c r="L5" s="41" t="s">
        <v>40</v>
      </c>
      <c r="M5" s="41" t="s">
        <v>14</v>
      </c>
      <c r="N5" s="37" t="s">
        <v>27</v>
      </c>
      <c r="O5" s="37" t="s">
        <v>37</v>
      </c>
      <c r="P5" s="37" t="s">
        <v>38</v>
      </c>
      <c r="Q5" s="37" t="s">
        <v>30</v>
      </c>
      <c r="R5" s="37" t="s">
        <v>31</v>
      </c>
      <c r="S5" s="37" t="s">
        <v>32</v>
      </c>
      <c r="T5" s="37" t="s">
        <v>13</v>
      </c>
      <c r="U5" s="37" t="s">
        <v>33</v>
      </c>
      <c r="V5" s="41" t="s">
        <v>22</v>
      </c>
      <c r="W5" s="37" t="s">
        <v>34</v>
      </c>
      <c r="X5" s="37" t="s">
        <v>35</v>
      </c>
      <c r="Y5" s="42" t="s">
        <v>36</v>
      </c>
      <c r="Z5" s="1"/>
      <c r="AA5" s="121" t="s">
        <v>65</v>
      </c>
      <c r="AB5" s="1"/>
      <c r="AW5" s="1"/>
    </row>
    <row r="6" spans="1:49" s="72" customFormat="1" ht="21.95" customHeight="1">
      <c r="A6" s="69"/>
      <c r="B6" s="70"/>
      <c r="C6" s="70" t="s">
        <v>43</v>
      </c>
      <c r="D6" s="70"/>
      <c r="E6" s="70"/>
      <c r="F6" s="70" t="s">
        <v>44</v>
      </c>
      <c r="G6" s="70" t="s">
        <v>44</v>
      </c>
      <c r="H6" s="70" t="s">
        <v>44</v>
      </c>
      <c r="I6" s="70" t="s">
        <v>45</v>
      </c>
      <c r="J6" s="71" t="s">
        <v>46</v>
      </c>
      <c r="K6" s="71" t="s">
        <v>47</v>
      </c>
      <c r="L6" s="71" t="s">
        <v>48</v>
      </c>
      <c r="M6" s="71" t="s">
        <v>49</v>
      </c>
      <c r="N6" s="71" t="s">
        <v>50</v>
      </c>
      <c r="O6" s="70" t="s">
        <v>51</v>
      </c>
      <c r="P6" s="71" t="s">
        <v>52</v>
      </c>
      <c r="Q6" s="71" t="s">
        <v>51</v>
      </c>
      <c r="R6" s="71" t="s">
        <v>52</v>
      </c>
      <c r="S6" s="71" t="s">
        <v>48</v>
      </c>
      <c r="T6" s="71" t="s">
        <v>53</v>
      </c>
      <c r="U6" s="71" t="s">
        <v>54</v>
      </c>
      <c r="V6" s="71" t="s">
        <v>55</v>
      </c>
      <c r="W6" s="71" t="s">
        <v>56</v>
      </c>
      <c r="X6" s="71" t="s">
        <v>56</v>
      </c>
      <c r="Y6" s="122" t="s">
        <v>56</v>
      </c>
      <c r="AA6" s="120" t="s">
        <v>56</v>
      </c>
    </row>
    <row r="7" spans="1:49" s="87" customFormat="1" ht="18">
      <c r="A7" s="73">
        <v>1</v>
      </c>
      <c r="B7" s="75" t="s">
        <v>2</v>
      </c>
      <c r="C7" s="75">
        <v>50</v>
      </c>
      <c r="D7" s="74">
        <v>1</v>
      </c>
      <c r="E7" s="74">
        <f>D7</f>
        <v>1</v>
      </c>
      <c r="F7" s="76">
        <v>11.17</v>
      </c>
      <c r="G7" s="77">
        <f>D7*(F7-0.14)</f>
        <v>11.03</v>
      </c>
      <c r="H7" s="77">
        <f>G7</f>
        <v>11.03</v>
      </c>
      <c r="I7" s="78">
        <f>H7*C7*0.0001*0.03</f>
        <v>1.6545000000000002E-3</v>
      </c>
      <c r="J7" s="86">
        <v>2.5</v>
      </c>
      <c r="K7" s="79">
        <v>8.6</v>
      </c>
      <c r="L7" s="80">
        <v>4</v>
      </c>
      <c r="M7" s="81">
        <v>100000000000</v>
      </c>
      <c r="N7" s="82">
        <f t="shared" ref="N7:N13" si="0">$I$3*$G$3*M7*1000000000</f>
        <v>20000</v>
      </c>
      <c r="O7" s="80">
        <v>4.5</v>
      </c>
      <c r="P7" s="80">
        <v>13</v>
      </c>
      <c r="Q7" s="83">
        <f>'z-side'!H7*H7+O7</f>
        <v>23.250999999999998</v>
      </c>
      <c r="R7" s="83">
        <f t="shared" ref="R7:R13" si="1">K7*H7+P7</f>
        <v>107.85799999999999</v>
      </c>
      <c r="S7" s="83">
        <f t="shared" ref="S7:S13" si="2">L7/E7</f>
        <v>4</v>
      </c>
      <c r="T7" s="83">
        <f t="shared" ref="T7:T13" si="3">N7*I7+0.2*H7</f>
        <v>35.296000000000006</v>
      </c>
      <c r="U7" s="84">
        <f t="shared" ref="U7:U13" si="4">T7*S7</f>
        <v>141.18400000000003</v>
      </c>
      <c r="V7" s="80">
        <v>100</v>
      </c>
      <c r="W7" s="84">
        <f t="shared" ref="W7:W13" si="5">2.718/1.602E-19*Q7*0.000000000001*SQRT(1.38E-23*$K$3*R7/(2*V7*0.000000001))</f>
        <v>589.44044358126666</v>
      </c>
      <c r="X7" s="84">
        <f t="shared" ref="X7:X13" si="6">2.718/1.602E-19*SQRT(1.38E-23*$K$3*V7*0.000000001/(2*S7*1000000))</f>
        <v>122.05121798093607</v>
      </c>
      <c r="Y7" s="85">
        <f t="shared" ref="Y7:Y13" si="7">2.718/2*SQRT(T7*V7*0.000000000000000001/1.602E-19)</f>
        <v>201.72092280333547</v>
      </c>
      <c r="AA7" s="32">
        <f t="shared" ref="AA7:AA13" si="8">SQRT(W7^2+X7^2+Y7^2)</f>
        <v>634.84475821773913</v>
      </c>
    </row>
    <row r="8" spans="1:49" s="87" customFormat="1" ht="18">
      <c r="A8" s="73">
        <v>2</v>
      </c>
      <c r="B8" s="75" t="s">
        <v>2</v>
      </c>
      <c r="C8" s="75">
        <v>55</v>
      </c>
      <c r="D8" s="74">
        <v>2</v>
      </c>
      <c r="E8" s="74">
        <f t="shared" ref="E8:E9" si="9">D8</f>
        <v>2</v>
      </c>
      <c r="F8" s="76">
        <v>6.64</v>
      </c>
      <c r="G8" s="77">
        <f>D8*(F8-0.14)</f>
        <v>13</v>
      </c>
      <c r="H8" s="77">
        <f t="shared" ref="H8:H9" si="10">G8</f>
        <v>13</v>
      </c>
      <c r="I8" s="78">
        <f t="shared" ref="I8:I13" si="11">H8*C8*0.0001*0.03</f>
        <v>2.1450000000000002E-3</v>
      </c>
      <c r="J8" s="86">
        <v>2.5</v>
      </c>
      <c r="K8" s="79">
        <v>6.7</v>
      </c>
      <c r="L8" s="80">
        <v>8</v>
      </c>
      <c r="M8" s="81">
        <v>45000000000</v>
      </c>
      <c r="N8" s="82">
        <f t="shared" si="0"/>
        <v>9000</v>
      </c>
      <c r="O8" s="80">
        <v>3.5</v>
      </c>
      <c r="P8" s="80">
        <v>11</v>
      </c>
      <c r="Q8" s="83">
        <f>'z-side'!H8*H8+O8</f>
        <v>25.599999999999998</v>
      </c>
      <c r="R8" s="83">
        <f t="shared" si="1"/>
        <v>98.100000000000009</v>
      </c>
      <c r="S8" s="83">
        <f t="shared" si="2"/>
        <v>4</v>
      </c>
      <c r="T8" s="83">
        <f t="shared" si="3"/>
        <v>21.905000000000005</v>
      </c>
      <c r="U8" s="84">
        <f t="shared" si="4"/>
        <v>87.620000000000019</v>
      </c>
      <c r="V8" s="80">
        <v>100</v>
      </c>
      <c r="W8" s="84">
        <f t="shared" si="5"/>
        <v>618.93719499453141</v>
      </c>
      <c r="X8" s="84">
        <f t="shared" si="6"/>
        <v>122.05121798093607</v>
      </c>
      <c r="Y8" s="85">
        <f t="shared" si="7"/>
        <v>158.91314752107891</v>
      </c>
      <c r="AA8" s="32">
        <f t="shared" si="8"/>
        <v>650.56370911186309</v>
      </c>
    </row>
    <row r="9" spans="1:49" s="87" customFormat="1" ht="18">
      <c r="A9" s="73">
        <v>3</v>
      </c>
      <c r="B9" s="75" t="s">
        <v>1</v>
      </c>
      <c r="C9" s="75">
        <v>100</v>
      </c>
      <c r="D9" s="74">
        <v>2</v>
      </c>
      <c r="E9" s="74">
        <f t="shared" si="9"/>
        <v>2</v>
      </c>
      <c r="F9" s="76">
        <v>9.64</v>
      </c>
      <c r="G9" s="77">
        <f>D9*(F9-0.14)</f>
        <v>19</v>
      </c>
      <c r="H9" s="77">
        <f t="shared" si="10"/>
        <v>19</v>
      </c>
      <c r="I9" s="78">
        <f t="shared" si="11"/>
        <v>5.7000000000000002E-3</v>
      </c>
      <c r="J9" s="86">
        <v>1.7</v>
      </c>
      <c r="K9" s="79">
        <v>4</v>
      </c>
      <c r="L9" s="80">
        <v>8</v>
      </c>
      <c r="M9" s="81">
        <v>9000000000</v>
      </c>
      <c r="N9" s="82">
        <f t="shared" si="0"/>
        <v>1800.0000000000002</v>
      </c>
      <c r="O9" s="80">
        <v>2.5</v>
      </c>
      <c r="P9" s="80">
        <v>7.5</v>
      </c>
      <c r="Q9" s="83">
        <f>'z-side'!H9*H9+O9</f>
        <v>34.799999999999997</v>
      </c>
      <c r="R9" s="83">
        <f t="shared" si="1"/>
        <v>83.5</v>
      </c>
      <c r="S9" s="83">
        <f t="shared" si="2"/>
        <v>4</v>
      </c>
      <c r="T9" s="83">
        <f t="shared" si="3"/>
        <v>14.060000000000002</v>
      </c>
      <c r="U9" s="84">
        <f t="shared" si="4"/>
        <v>56.240000000000009</v>
      </c>
      <c r="V9" s="80">
        <v>200</v>
      </c>
      <c r="W9" s="84">
        <f t="shared" si="5"/>
        <v>548.88276897905143</v>
      </c>
      <c r="X9" s="84">
        <f t="shared" si="6"/>
        <v>172.60648777279476</v>
      </c>
      <c r="Y9" s="85">
        <f t="shared" si="7"/>
        <v>180.05113318665272</v>
      </c>
      <c r="AA9" s="32">
        <f t="shared" si="8"/>
        <v>602.89609740416165</v>
      </c>
    </row>
    <row r="10" spans="1:49" s="87" customFormat="1" ht="18">
      <c r="A10" s="73" t="s">
        <v>15</v>
      </c>
      <c r="B10" s="75" t="s">
        <v>1</v>
      </c>
      <c r="C10" s="75">
        <v>100</v>
      </c>
      <c r="D10" s="74">
        <v>2</v>
      </c>
      <c r="E10" s="74">
        <f>D10+1</f>
        <v>3</v>
      </c>
      <c r="F10" s="76">
        <v>11.46</v>
      </c>
      <c r="G10" s="77">
        <f t="shared" ref="G10:G13" si="12">D10*(F10-0.14)</f>
        <v>22.64</v>
      </c>
      <c r="H10" s="77">
        <f>G10+(6.797-0.14)</f>
        <v>29.297000000000001</v>
      </c>
      <c r="I10" s="78">
        <f t="shared" si="11"/>
        <v>8.7891000000000011E-3</v>
      </c>
      <c r="J10" s="86">
        <v>1.7</v>
      </c>
      <c r="K10" s="79">
        <v>4</v>
      </c>
      <c r="L10" s="80">
        <v>8</v>
      </c>
      <c r="M10" s="81">
        <v>750000000</v>
      </c>
      <c r="N10" s="82">
        <f t="shared" si="0"/>
        <v>150.00000000000003</v>
      </c>
      <c r="O10" s="80">
        <v>1.1000000000000001</v>
      </c>
      <c r="P10" s="80">
        <v>3.2</v>
      </c>
      <c r="Q10" s="83">
        <f>'z-side'!H10*H10+O10</f>
        <v>50.904899999999998</v>
      </c>
      <c r="R10" s="83">
        <f t="shared" si="1"/>
        <v>120.38800000000001</v>
      </c>
      <c r="S10" s="83">
        <f t="shared" si="2"/>
        <v>2.6666666666666665</v>
      </c>
      <c r="T10" s="83">
        <f t="shared" si="3"/>
        <v>7.1777650000000008</v>
      </c>
      <c r="U10" s="84">
        <f t="shared" si="4"/>
        <v>19.140706666666667</v>
      </c>
      <c r="V10" s="80">
        <v>500</v>
      </c>
      <c r="W10" s="84">
        <f t="shared" si="5"/>
        <v>609.73103316072934</v>
      </c>
      <c r="X10" s="84">
        <f t="shared" si="6"/>
        <v>334.25102629569415</v>
      </c>
      <c r="Y10" s="85">
        <f t="shared" si="7"/>
        <v>203.4079021564576</v>
      </c>
      <c r="AA10" s="32">
        <f t="shared" si="8"/>
        <v>724.47943796816355</v>
      </c>
    </row>
    <row r="11" spans="1:49" s="87" customFormat="1" ht="18">
      <c r="A11" s="73" t="s">
        <v>16</v>
      </c>
      <c r="B11" s="75" t="s">
        <v>1</v>
      </c>
      <c r="C11" s="75">
        <v>100</v>
      </c>
      <c r="D11" s="74">
        <v>2</v>
      </c>
      <c r="E11" s="74">
        <f t="shared" ref="E11:E13" si="13">D11+1</f>
        <v>3</v>
      </c>
      <c r="F11" s="76">
        <v>11.98</v>
      </c>
      <c r="G11" s="77">
        <f t="shared" si="12"/>
        <v>23.68</v>
      </c>
      <c r="H11" s="77">
        <f>G11+(6.797-0.14)</f>
        <v>30.337</v>
      </c>
      <c r="I11" s="78">
        <f t="shared" si="11"/>
        <v>9.1010999999999991E-3</v>
      </c>
      <c r="J11" s="86">
        <v>1.7</v>
      </c>
      <c r="K11" s="79">
        <v>4</v>
      </c>
      <c r="L11" s="80">
        <v>8</v>
      </c>
      <c r="M11" s="81">
        <v>750000000</v>
      </c>
      <c r="N11" s="82">
        <f t="shared" si="0"/>
        <v>150.00000000000003</v>
      </c>
      <c r="O11" s="80">
        <v>1.1000000000000001</v>
      </c>
      <c r="P11" s="80">
        <v>3.2</v>
      </c>
      <c r="Q11" s="83">
        <f>'z-side'!H11*H11+O11</f>
        <v>52.672899999999998</v>
      </c>
      <c r="R11" s="83">
        <f t="shared" si="1"/>
        <v>124.548</v>
      </c>
      <c r="S11" s="83">
        <f t="shared" si="2"/>
        <v>2.6666666666666665</v>
      </c>
      <c r="T11" s="83">
        <f t="shared" si="3"/>
        <v>7.4325650000000003</v>
      </c>
      <c r="U11" s="84">
        <f t="shared" si="4"/>
        <v>19.820173333333333</v>
      </c>
      <c r="V11" s="80">
        <v>500</v>
      </c>
      <c r="W11" s="84">
        <f t="shared" si="5"/>
        <v>641.71578179128164</v>
      </c>
      <c r="X11" s="84">
        <f t="shared" si="6"/>
        <v>334.25102629569415</v>
      </c>
      <c r="Y11" s="85">
        <f t="shared" si="7"/>
        <v>206.98675737135153</v>
      </c>
      <c r="AA11" s="32">
        <f t="shared" si="8"/>
        <v>752.57319305621513</v>
      </c>
    </row>
    <row r="12" spans="1:49" s="87" customFormat="1" ht="18">
      <c r="A12" s="73" t="s">
        <v>17</v>
      </c>
      <c r="B12" s="75" t="s">
        <v>1</v>
      </c>
      <c r="C12" s="75">
        <v>100</v>
      </c>
      <c r="D12" s="74">
        <v>3</v>
      </c>
      <c r="E12" s="74">
        <f t="shared" si="13"/>
        <v>4</v>
      </c>
      <c r="F12" s="76">
        <v>10.220000000000001</v>
      </c>
      <c r="G12" s="77">
        <f t="shared" si="12"/>
        <v>30.240000000000002</v>
      </c>
      <c r="H12" s="77">
        <f>G12+(6.797-0.14)</f>
        <v>36.897000000000006</v>
      </c>
      <c r="I12" s="78">
        <f t="shared" si="11"/>
        <v>1.1069100000000002E-2</v>
      </c>
      <c r="J12" s="86">
        <v>1.7</v>
      </c>
      <c r="K12" s="79">
        <v>4</v>
      </c>
      <c r="L12" s="80">
        <v>10</v>
      </c>
      <c r="M12" s="81">
        <v>350000000</v>
      </c>
      <c r="N12" s="82">
        <f t="shared" si="0"/>
        <v>70</v>
      </c>
      <c r="O12" s="80">
        <v>1.1000000000000001</v>
      </c>
      <c r="P12" s="80">
        <v>3.2</v>
      </c>
      <c r="Q12" s="83">
        <f>'z-side'!H12*H12+O12</f>
        <v>63.824900000000007</v>
      </c>
      <c r="R12" s="83">
        <f t="shared" si="1"/>
        <v>150.78800000000001</v>
      </c>
      <c r="S12" s="83">
        <f t="shared" si="2"/>
        <v>2.5</v>
      </c>
      <c r="T12" s="83">
        <f t="shared" si="3"/>
        <v>8.154237000000002</v>
      </c>
      <c r="U12" s="84">
        <f t="shared" si="4"/>
        <v>20.385592500000005</v>
      </c>
      <c r="V12" s="80">
        <v>800</v>
      </c>
      <c r="W12" s="84">
        <f t="shared" si="5"/>
        <v>676.395412403303</v>
      </c>
      <c r="X12" s="84">
        <f t="shared" si="6"/>
        <v>436.6637122272283</v>
      </c>
      <c r="Y12" s="85">
        <f t="shared" si="7"/>
        <v>274.23624855944024</v>
      </c>
      <c r="AA12" s="32">
        <f t="shared" si="8"/>
        <v>850.52423335273227</v>
      </c>
    </row>
    <row r="13" spans="1:49" s="87" customFormat="1" ht="18.75" thickBot="1">
      <c r="A13" s="88" t="s">
        <v>18</v>
      </c>
      <c r="B13" s="89" t="s">
        <v>1</v>
      </c>
      <c r="C13" s="89">
        <v>100</v>
      </c>
      <c r="D13" s="90">
        <v>3</v>
      </c>
      <c r="E13" s="90">
        <f t="shared" si="13"/>
        <v>4</v>
      </c>
      <c r="F13" s="91">
        <v>10.6</v>
      </c>
      <c r="G13" s="92">
        <f t="shared" si="12"/>
        <v>31.379999999999995</v>
      </c>
      <c r="H13" s="92">
        <f>G13+(6.797-0.14)</f>
        <v>38.036999999999992</v>
      </c>
      <c r="I13" s="93">
        <f t="shared" si="11"/>
        <v>1.1411099999999997E-2</v>
      </c>
      <c r="J13" s="94">
        <v>1.7</v>
      </c>
      <c r="K13" s="95">
        <v>4</v>
      </c>
      <c r="L13" s="96">
        <v>10</v>
      </c>
      <c r="M13" s="97">
        <v>350000000</v>
      </c>
      <c r="N13" s="98">
        <f t="shared" si="0"/>
        <v>70</v>
      </c>
      <c r="O13" s="96">
        <v>1.1000000000000001</v>
      </c>
      <c r="P13" s="96">
        <v>3.2</v>
      </c>
      <c r="Q13" s="99">
        <f>'z-side'!H13*H13+O13</f>
        <v>65.762899999999973</v>
      </c>
      <c r="R13" s="99">
        <f t="shared" si="1"/>
        <v>155.34799999999996</v>
      </c>
      <c r="S13" s="99">
        <f t="shared" si="2"/>
        <v>2.5</v>
      </c>
      <c r="T13" s="99">
        <f t="shared" si="3"/>
        <v>8.4061769999999978</v>
      </c>
      <c r="U13" s="100">
        <f t="shared" si="4"/>
        <v>21.015442499999995</v>
      </c>
      <c r="V13" s="96">
        <v>800</v>
      </c>
      <c r="W13" s="100">
        <f t="shared" si="5"/>
        <v>707.39324679774199</v>
      </c>
      <c r="X13" s="100">
        <f t="shared" si="6"/>
        <v>436.6637122272283</v>
      </c>
      <c r="Y13" s="101">
        <f t="shared" si="7"/>
        <v>278.44053495370127</v>
      </c>
      <c r="AA13" s="32">
        <f t="shared" si="8"/>
        <v>876.7037895985269</v>
      </c>
    </row>
    <row r="14" spans="1:49" s="87" customFormat="1" ht="15.75" thickBot="1">
      <c r="A14" s="102"/>
      <c r="B14" s="102"/>
      <c r="C14" s="102"/>
      <c r="D14" s="102"/>
      <c r="E14" s="102"/>
      <c r="F14" s="103"/>
      <c r="G14" s="102"/>
      <c r="H14" s="102"/>
      <c r="I14" s="102"/>
      <c r="J14" s="102"/>
      <c r="K14" s="103"/>
      <c r="L14" s="104"/>
      <c r="M14" s="104"/>
      <c r="N14" s="105"/>
      <c r="O14" s="105"/>
      <c r="P14" s="105"/>
      <c r="Q14" s="104"/>
      <c r="R14" s="106"/>
      <c r="S14" s="104"/>
      <c r="T14" s="104"/>
      <c r="U14" s="103"/>
      <c r="V14" s="106"/>
      <c r="W14" s="107"/>
      <c r="X14" s="108"/>
      <c r="Y14" s="104"/>
      <c r="Z14" s="104"/>
      <c r="AA14" s="109"/>
      <c r="AB14" s="109"/>
      <c r="AW14" s="109"/>
    </row>
    <row r="15" spans="1:49" s="87" customFormat="1" ht="15.75" thickBot="1">
      <c r="F15" s="109"/>
      <c r="K15" s="109"/>
      <c r="L15" s="110"/>
      <c r="M15" s="110"/>
      <c r="N15" s="111"/>
      <c r="O15" s="111"/>
      <c r="P15" s="111"/>
      <c r="Q15" s="110"/>
      <c r="R15" s="112"/>
      <c r="S15" s="110"/>
      <c r="T15" s="110"/>
      <c r="U15" s="109"/>
      <c r="V15" s="112"/>
      <c r="W15" s="108"/>
      <c r="X15" s="108"/>
      <c r="Y15" s="110"/>
      <c r="Z15" s="110"/>
      <c r="AA15" s="109"/>
      <c r="AB15" s="109"/>
      <c r="AD15" s="113"/>
    </row>
    <row r="16" spans="1:49" s="87" customFormat="1">
      <c r="F16" s="109"/>
      <c r="K16" s="109"/>
      <c r="L16" s="110"/>
      <c r="M16" s="110"/>
      <c r="N16" s="111"/>
      <c r="O16" s="111"/>
      <c r="P16" s="111"/>
      <c r="Q16" s="110"/>
      <c r="R16" s="112"/>
      <c r="S16" s="110"/>
      <c r="T16" s="110"/>
      <c r="U16" s="109"/>
      <c r="V16" s="112"/>
      <c r="W16" s="108"/>
      <c r="X16" s="108"/>
      <c r="Y16" s="110"/>
      <c r="Z16" s="110"/>
      <c r="AA16" s="109"/>
      <c r="AB16" s="109"/>
      <c r="AW16" s="109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V38"/>
  <sheetViews>
    <sheetView zoomScale="70" zoomScaleNormal="70" workbookViewId="0">
      <pane xSplit="1" topLeftCell="B1" activePane="topRight" state="frozen"/>
      <selection pane="topRight" activeCell="D16" sqref="D16"/>
    </sheetView>
  </sheetViews>
  <sheetFormatPr defaultColWidth="8.85546875" defaultRowHeight="15"/>
  <cols>
    <col min="1" max="1" width="10.42578125" style="1" customWidth="1"/>
    <col min="2" max="2" width="10.28515625" style="1" customWidth="1"/>
    <col min="3" max="3" width="12.28515625" style="1" customWidth="1"/>
    <col min="4" max="4" width="15.42578125" style="1" customWidth="1"/>
    <col min="5" max="5" width="11.28515625" style="3" customWidth="1"/>
    <col min="6" max="6" width="13.5703125" style="1" customWidth="1"/>
    <col min="7" max="7" width="11.140625" style="1" customWidth="1"/>
    <col min="8" max="8" width="11.85546875" style="1" customWidth="1"/>
    <col min="9" max="9" width="11" style="1" customWidth="1"/>
    <col min="10" max="10" width="11.28515625" style="3" customWidth="1"/>
    <col min="11" max="11" width="12.5703125" style="11" customWidth="1"/>
    <col min="12" max="12" width="14.5703125" style="11" customWidth="1"/>
    <col min="13" max="14" width="10.28515625" style="11" customWidth="1"/>
    <col min="15" max="15" width="10.42578125" style="6" customWidth="1"/>
    <col min="16" max="16" width="9.7109375" style="11" customWidth="1"/>
    <col min="17" max="17" width="10.5703125" style="5" customWidth="1"/>
    <col min="18" max="19" width="11.85546875" style="11" customWidth="1"/>
    <col min="20" max="20" width="9.7109375" style="3" customWidth="1"/>
    <col min="21" max="21" width="10.42578125" style="5" customWidth="1"/>
    <col min="22" max="22" width="9.140625" style="4" customWidth="1"/>
    <col min="23" max="23" width="10.140625" style="4" customWidth="1"/>
    <col min="24" max="24" width="3" style="11" customWidth="1"/>
    <col min="25" max="25" width="11" style="11" customWidth="1"/>
    <col min="26" max="27" width="12.85546875" style="3" customWidth="1"/>
    <col min="28" max="28" width="10.7109375" style="1" bestFit="1" customWidth="1"/>
    <col min="29" max="29" width="8.85546875" style="1"/>
    <col min="30" max="30" width="10.140625" style="1" customWidth="1"/>
    <col min="31" max="31" width="16.28515625" style="1" customWidth="1"/>
    <col min="32" max="32" width="9.7109375" style="1" customWidth="1"/>
    <col min="33" max="33" width="16.42578125" style="1" customWidth="1"/>
    <col min="34" max="34" width="8.85546875" style="1"/>
    <col min="35" max="35" width="10.42578125" style="1" customWidth="1"/>
    <col min="36" max="36" width="11.28515625" style="1" customWidth="1"/>
    <col min="37" max="37" width="11" style="1" customWidth="1"/>
    <col min="38" max="38" width="13.28515625" style="1" customWidth="1"/>
    <col min="39" max="41" width="12.85546875" style="1" customWidth="1"/>
    <col min="42" max="42" width="14.42578125" style="1" customWidth="1"/>
    <col min="43" max="45" width="12.85546875" style="1" customWidth="1"/>
    <col min="46" max="46" width="14.42578125" style="1" customWidth="1"/>
    <col min="47" max="47" width="8.85546875" style="1"/>
    <col min="48" max="48" width="8.85546875" style="3"/>
    <col min="49" max="16384" width="8.85546875" style="1"/>
  </cols>
  <sheetData>
    <row r="1" spans="1:48" s="15" customFormat="1" ht="18.75">
      <c r="D1" s="15" t="s">
        <v>29</v>
      </c>
      <c r="E1" s="14"/>
      <c r="F1" s="68" t="s">
        <v>19</v>
      </c>
      <c r="H1" s="15" t="s">
        <v>21</v>
      </c>
      <c r="J1" s="64" t="s">
        <v>24</v>
      </c>
      <c r="K1" s="16"/>
      <c r="L1" s="16"/>
      <c r="M1" s="16"/>
      <c r="N1" s="16"/>
      <c r="O1" s="17"/>
      <c r="P1" s="16"/>
      <c r="Q1" s="18"/>
      <c r="R1" s="16"/>
      <c r="S1" s="16"/>
      <c r="T1" s="14"/>
      <c r="U1" s="18"/>
      <c r="V1" s="20"/>
      <c r="W1" s="20"/>
      <c r="X1" s="16"/>
      <c r="Y1" s="16"/>
      <c r="Z1" s="14"/>
      <c r="AA1" s="14"/>
      <c r="AV1" s="14"/>
    </row>
    <row r="2" spans="1:48" ht="18.75">
      <c r="D2" s="15" t="s">
        <v>41</v>
      </c>
      <c r="E2" s="14"/>
      <c r="F2" s="67" t="s">
        <v>41</v>
      </c>
      <c r="G2" s="19"/>
      <c r="H2" s="14" t="s">
        <v>20</v>
      </c>
      <c r="I2" s="15"/>
      <c r="J2" s="14" t="s">
        <v>42</v>
      </c>
      <c r="L2" s="16"/>
      <c r="M2" s="16"/>
      <c r="N2" s="16"/>
      <c r="O2" s="17"/>
      <c r="P2" s="16"/>
      <c r="Q2" s="18"/>
      <c r="R2" s="16"/>
      <c r="S2" s="16"/>
      <c r="T2" s="14"/>
      <c r="U2" s="18"/>
      <c r="X2" s="115"/>
      <c r="Y2" s="115"/>
      <c r="Z2" s="116"/>
      <c r="AA2" s="116"/>
      <c r="AB2" s="117"/>
      <c r="AC2" s="117"/>
    </row>
    <row r="3" spans="1:48" ht="18.75">
      <c r="D3" s="21">
        <v>2.0000000000000001E-9</v>
      </c>
      <c r="E3" s="14"/>
      <c r="F3" s="21">
        <v>4.0000000000000003E-17</v>
      </c>
      <c r="G3" s="15"/>
      <c r="H3" s="22">
        <v>5</v>
      </c>
      <c r="I3" s="15"/>
      <c r="J3" s="22">
        <v>300</v>
      </c>
      <c r="K3" s="16"/>
      <c r="L3" s="16"/>
      <c r="M3" s="16"/>
      <c r="N3" s="16"/>
      <c r="O3" s="17"/>
      <c r="P3" s="16"/>
      <c r="Q3" s="18"/>
      <c r="R3" s="16"/>
      <c r="S3" s="16"/>
      <c r="T3" s="14"/>
      <c r="U3" s="18"/>
      <c r="X3" s="115"/>
      <c r="Y3" s="115"/>
      <c r="Z3" s="116"/>
      <c r="AA3" s="116"/>
      <c r="AB3" s="117"/>
      <c r="AC3" s="117"/>
    </row>
    <row r="4" spans="1:48" ht="19.5" thickBot="1">
      <c r="E4" s="14"/>
      <c r="F4" s="15"/>
      <c r="G4" s="15"/>
      <c r="H4" s="15"/>
      <c r="I4" s="15"/>
      <c r="J4" s="14"/>
      <c r="K4" s="16"/>
      <c r="L4" s="16"/>
      <c r="M4" s="16"/>
      <c r="N4" s="16"/>
      <c r="O4" s="17"/>
      <c r="P4" s="16"/>
      <c r="Q4" s="18"/>
      <c r="R4" s="16"/>
      <c r="S4" s="16"/>
      <c r="T4" s="14"/>
      <c r="U4" s="18"/>
      <c r="X4" s="115"/>
      <c r="Y4" s="115"/>
      <c r="Z4" s="116"/>
      <c r="AA4" s="116"/>
      <c r="AB4" s="117"/>
      <c r="AC4" s="117"/>
    </row>
    <row r="5" spans="1:48" ht="69" customHeight="1">
      <c r="A5" s="33" t="s">
        <v>0</v>
      </c>
      <c r="B5" s="34" t="s">
        <v>9</v>
      </c>
      <c r="C5" s="35" t="s">
        <v>10</v>
      </c>
      <c r="D5" s="36" t="s">
        <v>39</v>
      </c>
      <c r="E5" s="36" t="s">
        <v>28</v>
      </c>
      <c r="F5" s="37" t="s">
        <v>8</v>
      </c>
      <c r="G5" s="38" t="s">
        <v>12</v>
      </c>
      <c r="H5" s="39" t="s">
        <v>3</v>
      </c>
      <c r="I5" s="40" t="s">
        <v>4</v>
      </c>
      <c r="J5" s="41" t="s">
        <v>40</v>
      </c>
      <c r="K5" s="41" t="s">
        <v>14</v>
      </c>
      <c r="L5" s="37" t="s">
        <v>27</v>
      </c>
      <c r="M5" s="37" t="s">
        <v>37</v>
      </c>
      <c r="N5" s="37" t="s">
        <v>38</v>
      </c>
      <c r="O5" s="37" t="s">
        <v>30</v>
      </c>
      <c r="P5" s="37" t="s">
        <v>31</v>
      </c>
      <c r="Q5" s="37" t="s">
        <v>32</v>
      </c>
      <c r="R5" s="37" t="s">
        <v>13</v>
      </c>
      <c r="S5" s="37" t="s">
        <v>33</v>
      </c>
      <c r="T5" s="41" t="s">
        <v>22</v>
      </c>
      <c r="U5" s="37" t="s">
        <v>23</v>
      </c>
      <c r="V5" s="37" t="s">
        <v>25</v>
      </c>
      <c r="W5" s="42" t="s">
        <v>26</v>
      </c>
      <c r="X5" s="117"/>
      <c r="Y5" s="121" t="s">
        <v>65</v>
      </c>
      <c r="Z5" s="117"/>
      <c r="AA5" s="117"/>
      <c r="AB5" s="117"/>
      <c r="AC5" s="117"/>
      <c r="AV5" s="1"/>
    </row>
    <row r="6" spans="1:48" s="13" customFormat="1" ht="36.75">
      <c r="A6" s="43"/>
      <c r="B6" s="23"/>
      <c r="C6" s="23" t="s">
        <v>43</v>
      </c>
      <c r="D6" s="23"/>
      <c r="E6" s="23" t="s">
        <v>44</v>
      </c>
      <c r="F6" s="23" t="s">
        <v>44</v>
      </c>
      <c r="G6" s="23" t="s">
        <v>45</v>
      </c>
      <c r="H6" s="24" t="s">
        <v>46</v>
      </c>
      <c r="I6" s="24" t="s">
        <v>47</v>
      </c>
      <c r="J6" s="24" t="s">
        <v>48</v>
      </c>
      <c r="K6" s="24" t="s">
        <v>49</v>
      </c>
      <c r="L6" s="24" t="s">
        <v>50</v>
      </c>
      <c r="M6" s="23" t="s">
        <v>51</v>
      </c>
      <c r="N6" s="24" t="s">
        <v>52</v>
      </c>
      <c r="O6" s="24" t="s">
        <v>51</v>
      </c>
      <c r="P6" s="24" t="s">
        <v>52</v>
      </c>
      <c r="Q6" s="24" t="s">
        <v>48</v>
      </c>
      <c r="R6" s="24" t="s">
        <v>53</v>
      </c>
      <c r="S6" s="24" t="s">
        <v>54</v>
      </c>
      <c r="T6" s="24" t="s">
        <v>55</v>
      </c>
      <c r="U6" s="24" t="s">
        <v>56</v>
      </c>
      <c r="V6" s="24" t="s">
        <v>56</v>
      </c>
      <c r="W6" s="119" t="s">
        <v>56</v>
      </c>
      <c r="X6" s="117"/>
      <c r="Y6" s="120" t="s">
        <v>56</v>
      </c>
      <c r="Z6" s="117"/>
      <c r="AA6" s="117"/>
      <c r="AB6" s="117"/>
      <c r="AC6" s="117"/>
    </row>
    <row r="7" spans="1:48" ht="18.75">
      <c r="A7" s="44">
        <v>1</v>
      </c>
      <c r="B7" s="114" t="s">
        <v>1</v>
      </c>
      <c r="C7" s="26">
        <v>100</v>
      </c>
      <c r="D7" s="25">
        <v>2</v>
      </c>
      <c r="E7" s="27">
        <v>4.13</v>
      </c>
      <c r="F7" s="28">
        <f>D7*(E7-0.14)</f>
        <v>7.9799999999999995</v>
      </c>
      <c r="G7" s="62">
        <f t="shared" ref="G7:G13" si="0">F7*C7*0.0001*0.03</f>
        <v>2.3940000000000003E-3</v>
      </c>
      <c r="H7" s="29">
        <v>1.7</v>
      </c>
      <c r="I7" s="30">
        <v>4</v>
      </c>
      <c r="J7" s="31">
        <v>4</v>
      </c>
      <c r="K7" s="56">
        <v>100000000000</v>
      </c>
      <c r="L7" s="60">
        <f t="shared" ref="L7:L13" si="1">$H$3*$F$3*K7*1000000000</f>
        <v>20000</v>
      </c>
      <c r="M7" s="58"/>
      <c r="N7" s="58"/>
      <c r="O7" s="58">
        <f t="shared" ref="O7:O13" si="2">H7*F7+M7</f>
        <v>13.565999999999999</v>
      </c>
      <c r="P7" s="58">
        <f t="shared" ref="P7:P13" si="3">I7*F7+N7</f>
        <v>31.919999999999998</v>
      </c>
      <c r="Q7" s="58">
        <f>J7/D7</f>
        <v>2</v>
      </c>
      <c r="R7" s="58">
        <f>L7*G7+0.2*F7</f>
        <v>49.475999999999999</v>
      </c>
      <c r="S7" s="32">
        <f t="shared" ref="S7:S13" si="4">R7*Q7</f>
        <v>98.951999999999998</v>
      </c>
      <c r="T7" s="31">
        <v>100</v>
      </c>
      <c r="U7" s="32">
        <f t="shared" ref="U7:U13" si="5">2.718/1.602E-19*O7*0.000000000001*SQRT(1.38E-23*$J$3*P7/(2*T7*0.000000001))</f>
        <v>187.09206455679799</v>
      </c>
      <c r="V7" s="32">
        <f t="shared" ref="V7:V13" si="6">2.718/1.602E-19*SQRT(1.38E-23*$J$3*T7*0.000000001/(2*Q7*1000000))</f>
        <v>172.60648777279476</v>
      </c>
      <c r="W7" s="45">
        <f t="shared" ref="W7:W13" si="7">2.718/2*SQRT(R7*T7*0.000000000000000001/1.602E-19)</f>
        <v>238.82813721083102</v>
      </c>
      <c r="X7" s="117"/>
      <c r="Y7" s="32">
        <f t="shared" ref="Y7:Y13" si="8">SQRT(U7^2+V7^2+W7^2)</f>
        <v>349.04916468168284</v>
      </c>
      <c r="Z7" s="117"/>
      <c r="AA7" s="117"/>
      <c r="AB7" s="117"/>
      <c r="AC7" s="117"/>
      <c r="AV7" s="1"/>
    </row>
    <row r="8" spans="1:48" ht="18.75">
      <c r="A8" s="44">
        <v>2</v>
      </c>
      <c r="B8" s="114" t="s">
        <v>1</v>
      </c>
      <c r="C8" s="26">
        <v>100</v>
      </c>
      <c r="D8" s="25">
        <v>2</v>
      </c>
      <c r="E8" s="27">
        <v>4.9399999999999995</v>
      </c>
      <c r="F8" s="28">
        <f t="shared" ref="F8:F12" si="9">D8*(E8-0.14)</f>
        <v>9.6</v>
      </c>
      <c r="G8" s="62">
        <f t="shared" si="0"/>
        <v>2.8799999999999997E-3</v>
      </c>
      <c r="H8" s="29">
        <v>1.7</v>
      </c>
      <c r="I8" s="30">
        <v>4</v>
      </c>
      <c r="J8" s="31">
        <v>8</v>
      </c>
      <c r="K8" s="56">
        <v>45000000000</v>
      </c>
      <c r="L8" s="60">
        <f t="shared" si="1"/>
        <v>9000</v>
      </c>
      <c r="M8" s="58"/>
      <c r="N8" s="58"/>
      <c r="O8" s="58">
        <f t="shared" si="2"/>
        <v>16.32</v>
      </c>
      <c r="P8" s="58">
        <f t="shared" si="3"/>
        <v>38.4</v>
      </c>
      <c r="Q8" s="58">
        <f>J8/D8</f>
        <v>4</v>
      </c>
      <c r="R8" s="58">
        <f>L8*G8+0.2*F8</f>
        <v>27.839999999999996</v>
      </c>
      <c r="S8" s="32">
        <f t="shared" si="4"/>
        <v>111.35999999999999</v>
      </c>
      <c r="T8" s="31">
        <v>100</v>
      </c>
      <c r="U8" s="32">
        <f t="shared" si="5"/>
        <v>246.86406723429712</v>
      </c>
      <c r="V8" s="32">
        <f t="shared" si="6"/>
        <v>122.05121798093607</v>
      </c>
      <c r="W8" s="45">
        <f t="shared" si="7"/>
        <v>179.1524766438925</v>
      </c>
      <c r="X8" s="117"/>
      <c r="Y8" s="32">
        <f t="shared" si="8"/>
        <v>328.53306894394967</v>
      </c>
      <c r="Z8" s="117"/>
      <c r="AA8" s="117"/>
      <c r="AB8" s="117"/>
      <c r="AC8" s="117"/>
      <c r="AV8" s="1"/>
    </row>
    <row r="9" spans="1:48" ht="18.75">
      <c r="A9" s="123">
        <v>3</v>
      </c>
      <c r="B9" s="124" t="s">
        <v>2</v>
      </c>
      <c r="C9" s="125">
        <v>110</v>
      </c>
      <c r="D9" s="124">
        <v>2</v>
      </c>
      <c r="E9" s="126">
        <v>7.15</v>
      </c>
      <c r="F9" s="126">
        <f t="shared" si="9"/>
        <v>14.020000000000001</v>
      </c>
      <c r="G9" s="127">
        <f t="shared" si="0"/>
        <v>4.6266000000000007E-3</v>
      </c>
      <c r="H9" s="126">
        <v>1.7</v>
      </c>
      <c r="I9" s="124">
        <v>6.7</v>
      </c>
      <c r="J9" s="128">
        <v>8</v>
      </c>
      <c r="K9" s="127">
        <v>9000000000</v>
      </c>
      <c r="L9" s="127">
        <f t="shared" si="1"/>
        <v>1800.0000000000002</v>
      </c>
      <c r="M9" s="129">
        <v>15.5</v>
      </c>
      <c r="N9" s="129">
        <v>48</v>
      </c>
      <c r="O9" s="129">
        <f>H9*F9+M9</f>
        <v>39.334000000000003</v>
      </c>
      <c r="P9" s="129">
        <f>I9*F9+N9</f>
        <v>141.93400000000003</v>
      </c>
      <c r="Q9" s="129">
        <f>J9/D9</f>
        <v>4</v>
      </c>
      <c r="R9" s="129">
        <f>L9*G9+0.2*F9</f>
        <v>11.131880000000002</v>
      </c>
      <c r="S9" s="125">
        <f t="shared" si="4"/>
        <v>44.52752000000001</v>
      </c>
      <c r="T9" s="128">
        <v>200</v>
      </c>
      <c r="U9" s="125">
        <f t="shared" si="5"/>
        <v>808.8508572866258</v>
      </c>
      <c r="V9" s="125">
        <f t="shared" si="6"/>
        <v>172.60648777279476</v>
      </c>
      <c r="W9" s="130">
        <f t="shared" si="7"/>
        <v>160.20920181879612</v>
      </c>
      <c r="X9" s="131"/>
      <c r="Y9" s="125">
        <f>SQRT(U9^2+V9^2+W9^2)</f>
        <v>842.43676160408927</v>
      </c>
      <c r="Z9" s="117"/>
      <c r="AA9" s="117"/>
      <c r="AB9" s="117"/>
      <c r="AC9" s="117"/>
      <c r="AV9" s="1"/>
    </row>
    <row r="10" spans="1:48" ht="18.75">
      <c r="A10" s="44" t="s">
        <v>15</v>
      </c>
      <c r="B10" s="25" t="s">
        <v>2</v>
      </c>
      <c r="C10" s="26">
        <v>210</v>
      </c>
      <c r="D10" s="25">
        <v>3</v>
      </c>
      <c r="E10" s="27">
        <v>5.2799999999999994</v>
      </c>
      <c r="F10" s="28">
        <f t="shared" si="9"/>
        <v>15.419999999999998</v>
      </c>
      <c r="G10" s="62">
        <f t="shared" si="0"/>
        <v>9.7146000000000003E-3</v>
      </c>
      <c r="H10" s="29">
        <v>1.7</v>
      </c>
      <c r="I10" s="30">
        <v>3</v>
      </c>
      <c r="J10" s="31">
        <v>8</v>
      </c>
      <c r="K10" s="56">
        <v>750000000</v>
      </c>
      <c r="L10" s="60">
        <f t="shared" si="1"/>
        <v>150.00000000000003</v>
      </c>
      <c r="M10" s="58"/>
      <c r="N10" s="58"/>
      <c r="O10" s="58">
        <f t="shared" si="2"/>
        <v>26.213999999999995</v>
      </c>
      <c r="P10" s="58">
        <f t="shared" si="3"/>
        <v>46.259999999999991</v>
      </c>
      <c r="Q10" s="58">
        <f t="shared" ref="Q10:Q13" si="10">J10/D10</f>
        <v>2.6666666666666665</v>
      </c>
      <c r="R10" s="58">
        <f t="shared" ref="R10:R13" si="11">L10*G10+0.2*F10</f>
        <v>4.5411900000000003</v>
      </c>
      <c r="S10" s="32">
        <f t="shared" si="4"/>
        <v>12.10984</v>
      </c>
      <c r="T10" s="31">
        <v>500</v>
      </c>
      <c r="U10" s="32">
        <f t="shared" si="5"/>
        <v>194.63602230521954</v>
      </c>
      <c r="V10" s="32">
        <f t="shared" si="6"/>
        <v>334.25102629569415</v>
      </c>
      <c r="W10" s="45">
        <f t="shared" si="7"/>
        <v>161.79237099467531</v>
      </c>
      <c r="X10" s="117"/>
      <c r="Y10" s="32">
        <f t="shared" si="8"/>
        <v>419.26566884327821</v>
      </c>
      <c r="Z10" s="117"/>
      <c r="AA10" s="117"/>
      <c r="AB10" s="117"/>
      <c r="AC10" s="117"/>
      <c r="AV10" s="1"/>
    </row>
    <row r="11" spans="1:48" ht="18.75">
      <c r="A11" s="44" t="s">
        <v>16</v>
      </c>
      <c r="B11" s="25" t="s">
        <v>2</v>
      </c>
      <c r="C11" s="26">
        <v>210</v>
      </c>
      <c r="D11" s="25">
        <v>3</v>
      </c>
      <c r="E11" s="27">
        <v>5.2799999999999994</v>
      </c>
      <c r="F11" s="28">
        <f t="shared" si="9"/>
        <v>15.419999999999998</v>
      </c>
      <c r="G11" s="62">
        <f t="shared" si="0"/>
        <v>9.7146000000000003E-3</v>
      </c>
      <c r="H11" s="29">
        <v>1.7</v>
      </c>
      <c r="I11" s="30">
        <v>3</v>
      </c>
      <c r="J11" s="31">
        <v>8</v>
      </c>
      <c r="K11" s="56">
        <v>750000000</v>
      </c>
      <c r="L11" s="60">
        <f t="shared" si="1"/>
        <v>150.00000000000003</v>
      </c>
      <c r="M11" s="58"/>
      <c r="N11" s="58"/>
      <c r="O11" s="58">
        <f t="shared" si="2"/>
        <v>26.213999999999995</v>
      </c>
      <c r="P11" s="58">
        <f t="shared" si="3"/>
        <v>46.259999999999991</v>
      </c>
      <c r="Q11" s="58">
        <f t="shared" si="10"/>
        <v>2.6666666666666665</v>
      </c>
      <c r="R11" s="58">
        <f t="shared" si="11"/>
        <v>4.5411900000000003</v>
      </c>
      <c r="S11" s="32">
        <f t="shared" si="4"/>
        <v>12.10984</v>
      </c>
      <c r="T11" s="31">
        <v>500</v>
      </c>
      <c r="U11" s="32">
        <f t="shared" si="5"/>
        <v>194.63602230521954</v>
      </c>
      <c r="V11" s="32">
        <f t="shared" si="6"/>
        <v>334.25102629569415</v>
      </c>
      <c r="W11" s="45">
        <f t="shared" si="7"/>
        <v>161.79237099467531</v>
      </c>
      <c r="X11" s="117"/>
      <c r="Y11" s="32">
        <f t="shared" si="8"/>
        <v>419.26566884327821</v>
      </c>
      <c r="Z11" s="117"/>
      <c r="AA11" s="117"/>
      <c r="AB11" s="117"/>
      <c r="AC11" s="117"/>
      <c r="AV11" s="1"/>
    </row>
    <row r="12" spans="1:48" ht="18.75">
      <c r="A12" s="44" t="s">
        <v>17</v>
      </c>
      <c r="B12" s="25" t="s">
        <v>2</v>
      </c>
      <c r="C12" s="26">
        <v>210</v>
      </c>
      <c r="D12" s="25">
        <v>3</v>
      </c>
      <c r="E12" s="27">
        <v>5.2799999999999994</v>
      </c>
      <c r="F12" s="28">
        <f t="shared" si="9"/>
        <v>15.419999999999998</v>
      </c>
      <c r="G12" s="62">
        <f t="shared" si="0"/>
        <v>9.7146000000000003E-3</v>
      </c>
      <c r="H12" s="29">
        <v>1.7</v>
      </c>
      <c r="I12" s="30">
        <v>3</v>
      </c>
      <c r="J12" s="31">
        <v>10</v>
      </c>
      <c r="K12" s="56">
        <v>350000000</v>
      </c>
      <c r="L12" s="60">
        <f t="shared" si="1"/>
        <v>70</v>
      </c>
      <c r="M12" s="58"/>
      <c r="N12" s="58"/>
      <c r="O12" s="58">
        <f t="shared" si="2"/>
        <v>26.213999999999995</v>
      </c>
      <c r="P12" s="58">
        <f t="shared" si="3"/>
        <v>46.259999999999991</v>
      </c>
      <c r="Q12" s="58">
        <f t="shared" si="10"/>
        <v>3.3333333333333335</v>
      </c>
      <c r="R12" s="58">
        <f t="shared" si="11"/>
        <v>3.7640219999999998</v>
      </c>
      <c r="S12" s="32">
        <f t="shared" si="4"/>
        <v>12.54674</v>
      </c>
      <c r="T12" s="31">
        <v>800</v>
      </c>
      <c r="U12" s="32">
        <f t="shared" si="5"/>
        <v>153.87328629995753</v>
      </c>
      <c r="V12" s="32">
        <f t="shared" si="6"/>
        <v>378.16186769959734</v>
      </c>
      <c r="W12" s="45">
        <f t="shared" si="7"/>
        <v>186.31991222034685</v>
      </c>
      <c r="X12" s="117"/>
      <c r="Y12" s="32">
        <f t="shared" si="8"/>
        <v>448.7744378956919</v>
      </c>
      <c r="Z12" s="117"/>
      <c r="AA12" s="117"/>
      <c r="AB12" s="117"/>
      <c r="AC12" s="117"/>
      <c r="AV12" s="1"/>
    </row>
    <row r="13" spans="1:48" ht="19.5" thickBot="1">
      <c r="A13" s="46" t="s">
        <v>18</v>
      </c>
      <c r="B13" s="47" t="s">
        <v>2</v>
      </c>
      <c r="C13" s="47">
        <v>210</v>
      </c>
      <c r="D13" s="48">
        <v>3</v>
      </c>
      <c r="E13" s="49">
        <v>5.2799999999999994</v>
      </c>
      <c r="F13" s="50">
        <f>D13*(E13-0.14)</f>
        <v>15.419999999999998</v>
      </c>
      <c r="G13" s="63">
        <f t="shared" si="0"/>
        <v>9.7146000000000003E-3</v>
      </c>
      <c r="H13" s="51">
        <v>1.7</v>
      </c>
      <c r="I13" s="52">
        <v>3</v>
      </c>
      <c r="J13" s="53">
        <v>10</v>
      </c>
      <c r="K13" s="57">
        <v>350000000</v>
      </c>
      <c r="L13" s="61">
        <f t="shared" si="1"/>
        <v>70</v>
      </c>
      <c r="M13" s="59"/>
      <c r="N13" s="59"/>
      <c r="O13" s="59">
        <f t="shared" si="2"/>
        <v>26.213999999999995</v>
      </c>
      <c r="P13" s="59">
        <f t="shared" si="3"/>
        <v>46.259999999999991</v>
      </c>
      <c r="Q13" s="59">
        <f t="shared" si="10"/>
        <v>3.3333333333333335</v>
      </c>
      <c r="R13" s="59">
        <f t="shared" si="11"/>
        <v>3.7640219999999998</v>
      </c>
      <c r="S13" s="54">
        <f t="shared" si="4"/>
        <v>12.54674</v>
      </c>
      <c r="T13" s="53">
        <v>800</v>
      </c>
      <c r="U13" s="54">
        <f t="shared" si="5"/>
        <v>153.87328629995753</v>
      </c>
      <c r="V13" s="54">
        <f t="shared" si="6"/>
        <v>378.16186769959734</v>
      </c>
      <c r="W13" s="55">
        <f t="shared" si="7"/>
        <v>186.31991222034685</v>
      </c>
      <c r="X13" s="117"/>
      <c r="Y13" s="32">
        <f t="shared" si="8"/>
        <v>448.7744378956919</v>
      </c>
      <c r="Z13" s="117"/>
      <c r="AA13" s="117"/>
      <c r="AB13" s="117"/>
      <c r="AC13" s="117"/>
      <c r="AV13" s="1"/>
    </row>
    <row r="14" spans="1:48" ht="18.75">
      <c r="A14" s="132"/>
      <c r="B14" s="133"/>
      <c r="C14" s="133"/>
      <c r="D14" s="132"/>
      <c r="E14" s="134"/>
      <c r="F14" s="135"/>
      <c r="G14" s="136"/>
      <c r="H14" s="135"/>
      <c r="I14" s="139"/>
      <c r="J14" s="140"/>
      <c r="K14" s="136"/>
      <c r="L14" s="136"/>
      <c r="M14" s="137"/>
      <c r="N14" s="137"/>
      <c r="O14" s="137"/>
      <c r="P14" s="137"/>
      <c r="Q14" s="137"/>
      <c r="R14" s="137"/>
      <c r="S14" s="138"/>
      <c r="T14" s="140"/>
      <c r="U14" s="138"/>
      <c r="V14" s="138"/>
      <c r="W14" s="138"/>
      <c r="X14" s="117"/>
      <c r="Y14" s="138"/>
      <c r="Z14" s="117"/>
      <c r="AA14" s="117"/>
      <c r="AB14" s="117"/>
      <c r="AC14" s="117"/>
      <c r="AV14" s="1"/>
    </row>
    <row r="15" spans="1:48" ht="18.75">
      <c r="A15" s="132"/>
      <c r="B15" s="133"/>
      <c r="C15" s="133"/>
      <c r="D15" s="132"/>
      <c r="E15" s="134"/>
      <c r="F15" s="135"/>
      <c r="G15" s="136"/>
      <c r="H15" s="135"/>
      <c r="I15" s="139"/>
      <c r="J15" s="140"/>
      <c r="K15" s="136"/>
      <c r="L15" s="136"/>
      <c r="M15" s="137"/>
      <c r="N15" s="137"/>
      <c r="O15" s="137"/>
      <c r="P15" s="137"/>
      <c r="Q15" s="137"/>
      <c r="R15" s="137"/>
      <c r="S15" s="138"/>
      <c r="T15" s="140"/>
      <c r="U15" s="138"/>
      <c r="V15" s="138"/>
      <c r="W15" s="138"/>
      <c r="X15" s="117"/>
      <c r="Y15" s="138"/>
      <c r="Z15" s="117"/>
      <c r="AA15" s="117"/>
      <c r="AB15" s="117"/>
      <c r="AC15" s="117"/>
      <c r="AV15" s="1"/>
    </row>
    <row r="16" spans="1:48" ht="18.75">
      <c r="A16" s="2"/>
      <c r="B16" s="2"/>
      <c r="C16" s="2"/>
      <c r="D16" s="2"/>
      <c r="E16" s="8"/>
      <c r="F16" s="2"/>
      <c r="G16" s="2"/>
      <c r="H16" s="2"/>
      <c r="I16" s="2"/>
      <c r="J16" s="8"/>
      <c r="K16" s="10"/>
      <c r="L16" s="10"/>
      <c r="M16" s="10"/>
      <c r="N16" s="10"/>
      <c r="O16" s="12"/>
      <c r="P16" s="10"/>
      <c r="Q16" s="7"/>
      <c r="R16" s="10"/>
      <c r="S16" s="10"/>
      <c r="T16" s="8"/>
      <c r="U16" s="7"/>
      <c r="V16" s="9"/>
      <c r="X16" s="118"/>
      <c r="Y16" s="116"/>
      <c r="Z16" s="116"/>
      <c r="AA16" s="117"/>
      <c r="AB16" s="117"/>
      <c r="AU16" s="3"/>
      <c r="AV16" s="1"/>
    </row>
    <row r="17" spans="1:48" ht="19.5" thickBot="1">
      <c r="X17" s="115"/>
      <c r="Y17" s="116"/>
      <c r="Z17" s="116"/>
      <c r="AA17" s="117"/>
      <c r="AT17" s="3"/>
      <c r="AV17" s="1"/>
    </row>
    <row r="18" spans="1:48" ht="90.75">
      <c r="A18" s="33" t="s">
        <v>0</v>
      </c>
      <c r="B18" s="34" t="s">
        <v>9</v>
      </c>
      <c r="C18" s="35" t="s">
        <v>10</v>
      </c>
      <c r="D18" s="36" t="s">
        <v>57</v>
      </c>
      <c r="E18" s="36" t="s">
        <v>28</v>
      </c>
      <c r="F18" s="37" t="s">
        <v>8</v>
      </c>
      <c r="G18" s="38" t="s">
        <v>12</v>
      </c>
      <c r="H18" s="39" t="s">
        <v>3</v>
      </c>
      <c r="I18" s="40" t="s">
        <v>4</v>
      </c>
      <c r="J18" s="41" t="s">
        <v>40</v>
      </c>
      <c r="K18" s="41" t="s">
        <v>14</v>
      </c>
      <c r="L18" s="37" t="s">
        <v>27</v>
      </c>
      <c r="M18" s="37" t="s">
        <v>37</v>
      </c>
      <c r="N18" s="37" t="s">
        <v>38</v>
      </c>
      <c r="O18" s="37" t="s">
        <v>30</v>
      </c>
      <c r="P18" s="37" t="s">
        <v>31</v>
      </c>
      <c r="Q18" s="37" t="s">
        <v>32</v>
      </c>
      <c r="R18" s="37" t="s">
        <v>13</v>
      </c>
      <c r="S18" s="37" t="s">
        <v>33</v>
      </c>
      <c r="T18" s="41" t="s">
        <v>22</v>
      </c>
      <c r="U18" s="37" t="s">
        <v>23</v>
      </c>
      <c r="V18" s="37" t="s">
        <v>25</v>
      </c>
      <c r="W18" s="42" t="s">
        <v>26</v>
      </c>
      <c r="X18" s="115"/>
      <c r="Y18" s="121" t="s">
        <v>65</v>
      </c>
      <c r="Z18" s="116"/>
      <c r="AA18" s="117"/>
      <c r="AB18" s="117"/>
      <c r="AU18" s="3"/>
      <c r="AV18" s="1"/>
    </row>
    <row r="19" spans="1:48" ht="36.75">
      <c r="A19" s="43"/>
      <c r="B19" s="23"/>
      <c r="C19" s="23" t="s">
        <v>43</v>
      </c>
      <c r="D19" s="23"/>
      <c r="E19" s="23" t="s">
        <v>44</v>
      </c>
      <c r="F19" s="23" t="s">
        <v>44</v>
      </c>
      <c r="G19" s="23" t="s">
        <v>45</v>
      </c>
      <c r="H19" s="24" t="s">
        <v>46</v>
      </c>
      <c r="I19" s="24" t="s">
        <v>47</v>
      </c>
      <c r="J19" s="24" t="s">
        <v>48</v>
      </c>
      <c r="K19" s="24" t="s">
        <v>49</v>
      </c>
      <c r="L19" s="24" t="s">
        <v>50</v>
      </c>
      <c r="M19" s="23" t="s">
        <v>51</v>
      </c>
      <c r="N19" s="24" t="s">
        <v>52</v>
      </c>
      <c r="O19" s="24" t="s">
        <v>51</v>
      </c>
      <c r="P19" s="24" t="s">
        <v>52</v>
      </c>
      <c r="Q19" s="24" t="s">
        <v>48</v>
      </c>
      <c r="R19" s="24" t="s">
        <v>53</v>
      </c>
      <c r="S19" s="24" t="s">
        <v>54</v>
      </c>
      <c r="T19" s="24" t="s">
        <v>55</v>
      </c>
      <c r="U19" s="24" t="s">
        <v>56</v>
      </c>
      <c r="V19" s="24" t="s">
        <v>56</v>
      </c>
      <c r="W19" s="119" t="s">
        <v>56</v>
      </c>
      <c r="X19" s="115"/>
      <c r="Y19" s="120" t="s">
        <v>56</v>
      </c>
      <c r="Z19" s="116"/>
      <c r="AA19" s="117"/>
      <c r="AB19" s="117"/>
      <c r="AU19" s="3"/>
      <c r="AV19" s="1"/>
    </row>
    <row r="20" spans="1:48" ht="36.75">
      <c r="A20" s="44" t="s">
        <v>58</v>
      </c>
      <c r="B20" s="114" t="s">
        <v>1</v>
      </c>
      <c r="C20" s="26">
        <v>100</v>
      </c>
      <c r="D20" s="25">
        <v>1</v>
      </c>
      <c r="E20" s="27">
        <v>4.13</v>
      </c>
      <c r="F20" s="28">
        <f>E20-0.14</f>
        <v>3.9899999999999998</v>
      </c>
      <c r="G20" s="62">
        <f>F20*C20*D20*0.0001*0.03</f>
        <v>1.1970000000000001E-3</v>
      </c>
      <c r="H20" s="29">
        <v>1.7</v>
      </c>
      <c r="I20" s="30">
        <v>4</v>
      </c>
      <c r="J20" s="31">
        <v>4</v>
      </c>
      <c r="K20" s="56">
        <v>100000000000</v>
      </c>
      <c r="L20" s="60">
        <f t="shared" ref="L20:L26" si="12">$H$3*$F$3*K20*1000000000</f>
        <v>20000</v>
      </c>
      <c r="M20" s="58">
        <v>11</v>
      </c>
      <c r="N20" s="58">
        <v>34</v>
      </c>
      <c r="O20" s="58">
        <f t="shared" ref="O20:O26" si="13">H20*F20+M20</f>
        <v>17.783000000000001</v>
      </c>
      <c r="P20" s="58">
        <f>I20/D20*F20+N20</f>
        <v>49.96</v>
      </c>
      <c r="Q20" s="58">
        <f t="shared" ref="Q20:Q26" si="14">J20/D20</f>
        <v>4</v>
      </c>
      <c r="R20" s="58">
        <f>L20*G20+0.2*F20*D20</f>
        <v>24.738</v>
      </c>
      <c r="S20" s="32">
        <f t="shared" ref="S20:S26" si="15">R20*Q20</f>
        <v>98.951999999999998</v>
      </c>
      <c r="T20" s="31">
        <v>100</v>
      </c>
      <c r="U20" s="32">
        <f t="shared" ref="U20:U26" si="16">2.718/1.602E-19*O20*0.000000000001*SQRT(1.38E-23*$J$3*P20/(2*T20*0.000000001))</f>
        <v>306.82331419396183</v>
      </c>
      <c r="V20" s="32">
        <f t="shared" ref="V20:V26" si="17">2.718/1.602E-19*SQRT(1.38E-23*$J$3*T20*0.000000001/(2*Q20*1000000))</f>
        <v>122.05121798093607</v>
      </c>
      <c r="W20" s="45">
        <f t="shared" ref="W20:W26" si="18">2.718/2*SQRT(R20*T20*0.000000000000000001/1.602E-19)</f>
        <v>168.87699535992982</v>
      </c>
      <c r="X20" s="115"/>
      <c r="Y20" s="32">
        <f t="shared" ref="Y20:Y26" si="19">SQRT(U20^2+V20^2+W20^2)</f>
        <v>370.8860815741059</v>
      </c>
      <c r="Z20" s="116"/>
      <c r="AA20" s="116"/>
      <c r="AB20" s="117"/>
      <c r="AC20" s="117"/>
    </row>
    <row r="21" spans="1:48" ht="36.75">
      <c r="A21" s="44" t="s">
        <v>59</v>
      </c>
      <c r="B21" s="114" t="s">
        <v>1</v>
      </c>
      <c r="C21" s="26">
        <v>100</v>
      </c>
      <c r="D21" s="25">
        <v>2</v>
      </c>
      <c r="E21" s="27">
        <v>4.13</v>
      </c>
      <c r="F21" s="28">
        <f t="shared" ref="F21:F26" si="20">E21-0.14</f>
        <v>3.9899999999999998</v>
      </c>
      <c r="G21" s="62">
        <f t="shared" ref="G21:G26" si="21">F21*C21*D21*0.0001*0.03</f>
        <v>2.3940000000000003E-3</v>
      </c>
      <c r="H21" s="29">
        <v>2.2999999999999998</v>
      </c>
      <c r="I21" s="30">
        <v>4</v>
      </c>
      <c r="J21" s="31">
        <v>4</v>
      </c>
      <c r="K21" s="56">
        <v>100000000000</v>
      </c>
      <c r="L21" s="60">
        <f t="shared" ref="L21" si="22">$H$3*$F$3*K21*1000000000</f>
        <v>20000</v>
      </c>
      <c r="M21" s="58">
        <v>6.5</v>
      </c>
      <c r="N21" s="58">
        <v>20</v>
      </c>
      <c r="O21" s="58">
        <f t="shared" ref="O21" si="23">H21*F21+M21</f>
        <v>15.677</v>
      </c>
      <c r="P21" s="58">
        <f t="shared" ref="P21:P26" si="24">I21/D21*F21+N21</f>
        <v>27.98</v>
      </c>
      <c r="Q21" s="58">
        <f t="shared" si="14"/>
        <v>2</v>
      </c>
      <c r="R21" s="58">
        <f t="shared" ref="R21:R26" si="25">L21*G21+0.2*F21*D21</f>
        <v>49.475999999999999</v>
      </c>
      <c r="S21" s="32">
        <f t="shared" ref="S21" si="26">R21*Q21</f>
        <v>98.951999999999998</v>
      </c>
      <c r="T21" s="31">
        <v>100</v>
      </c>
      <c r="U21" s="32">
        <f t="shared" ref="U21" si="27">2.718/1.602E-19*O21*0.000000000001*SQRT(1.38E-23*$J$3*P21/(2*T21*0.000000001))</f>
        <v>202.42256643178644</v>
      </c>
      <c r="V21" s="32">
        <f t="shared" ref="V21" si="28">2.718/1.602E-19*SQRT(1.38E-23*$J$3*T21*0.000000001/(2*Q21*1000000))</f>
        <v>172.60648777279476</v>
      </c>
      <c r="W21" s="45">
        <f t="shared" ref="W21" si="29">2.718/2*SQRT(R21*T21*0.000000000000000001/1.602E-19)</f>
        <v>238.82813721083102</v>
      </c>
      <c r="X21" s="115"/>
      <c r="Y21" s="32">
        <f t="shared" si="19"/>
        <v>357.50073307013855</v>
      </c>
      <c r="Z21" s="116"/>
      <c r="AA21" s="116"/>
      <c r="AB21" s="117"/>
      <c r="AC21" s="117"/>
    </row>
    <row r="22" spans="1:48" ht="36.75">
      <c r="A22" s="44" t="s">
        <v>60</v>
      </c>
      <c r="B22" s="114" t="s">
        <v>1</v>
      </c>
      <c r="C22" s="26">
        <v>100</v>
      </c>
      <c r="D22" s="25">
        <v>1</v>
      </c>
      <c r="E22" s="27">
        <v>4.9399999999999995</v>
      </c>
      <c r="F22" s="28">
        <f t="shared" si="20"/>
        <v>4.8</v>
      </c>
      <c r="G22" s="62">
        <f t="shared" si="21"/>
        <v>1.4399999999999999E-3</v>
      </c>
      <c r="H22" s="29">
        <v>1.7</v>
      </c>
      <c r="I22" s="30">
        <v>4</v>
      </c>
      <c r="J22" s="31">
        <v>8</v>
      </c>
      <c r="K22" s="56">
        <v>45000000000</v>
      </c>
      <c r="L22" s="60">
        <f t="shared" si="12"/>
        <v>9000</v>
      </c>
      <c r="M22" s="58">
        <v>11.5</v>
      </c>
      <c r="N22" s="58">
        <v>35</v>
      </c>
      <c r="O22" s="58">
        <f t="shared" si="13"/>
        <v>19.66</v>
      </c>
      <c r="P22" s="58">
        <f t="shared" si="24"/>
        <v>54.2</v>
      </c>
      <c r="Q22" s="58">
        <f t="shared" si="14"/>
        <v>8</v>
      </c>
      <c r="R22" s="58">
        <f t="shared" si="25"/>
        <v>13.919999999999998</v>
      </c>
      <c r="S22" s="32">
        <f t="shared" si="15"/>
        <v>111.35999999999999</v>
      </c>
      <c r="T22" s="31">
        <v>100</v>
      </c>
      <c r="U22" s="32">
        <f t="shared" si="16"/>
        <v>353.30946337257353</v>
      </c>
      <c r="V22" s="32">
        <f t="shared" si="17"/>
        <v>86.303243886397382</v>
      </c>
      <c r="W22" s="45">
        <f t="shared" si="18"/>
        <v>126.67993110126096</v>
      </c>
      <c r="X22" s="115"/>
      <c r="Y22" s="32">
        <f t="shared" si="19"/>
        <v>385.12807189005463</v>
      </c>
      <c r="Z22" s="116"/>
      <c r="AA22" s="116"/>
      <c r="AB22" s="117"/>
      <c r="AC22" s="117"/>
    </row>
    <row r="23" spans="1:48" ht="36.75">
      <c r="A23" s="44" t="s">
        <v>61</v>
      </c>
      <c r="B23" s="114" t="s">
        <v>1</v>
      </c>
      <c r="C23" s="26">
        <v>100</v>
      </c>
      <c r="D23" s="25">
        <v>2</v>
      </c>
      <c r="E23" s="27">
        <v>4.9399999999999995</v>
      </c>
      <c r="F23" s="28">
        <f t="shared" si="20"/>
        <v>4.8</v>
      </c>
      <c r="G23" s="62">
        <f t="shared" si="21"/>
        <v>2.8799999999999997E-3</v>
      </c>
      <c r="H23" s="29">
        <v>2.2999999999999998</v>
      </c>
      <c r="I23" s="30">
        <v>4</v>
      </c>
      <c r="J23" s="31">
        <v>8</v>
      </c>
      <c r="K23" s="56">
        <v>45000000000</v>
      </c>
      <c r="L23" s="60">
        <f t="shared" si="12"/>
        <v>9000</v>
      </c>
      <c r="M23" s="58">
        <v>8.3000000000000007</v>
      </c>
      <c r="N23" s="58">
        <v>26</v>
      </c>
      <c r="O23" s="58">
        <f t="shared" si="13"/>
        <v>19.34</v>
      </c>
      <c r="P23" s="58">
        <f t="shared" si="24"/>
        <v>35.6</v>
      </c>
      <c r="Q23" s="58">
        <f t="shared" si="14"/>
        <v>4</v>
      </c>
      <c r="R23" s="58">
        <f t="shared" si="25"/>
        <v>27.839999999999996</v>
      </c>
      <c r="S23" s="32">
        <f t="shared" ref="S23:S25" si="30">R23*Q23</f>
        <v>111.35999999999999</v>
      </c>
      <c r="T23" s="31">
        <v>100</v>
      </c>
      <c r="U23" s="32">
        <f t="shared" ref="U23:U25" si="31">2.718/1.602E-19*O23*0.000000000001*SQRT(1.38E-23*$J$3*P23/(2*T23*0.000000001))</f>
        <v>281.67842395657624</v>
      </c>
      <c r="V23" s="32">
        <f t="shared" ref="V23:V25" si="32">2.718/1.602E-19*SQRT(1.38E-23*$J$3*T23*0.000000001/(2*Q23*1000000))</f>
        <v>122.05121798093607</v>
      </c>
      <c r="W23" s="45">
        <f t="shared" ref="W23:W25" si="33">2.718/2*SQRT(R23*T23*0.000000000000000001/1.602E-19)</f>
        <v>179.1524766438925</v>
      </c>
      <c r="X23" s="115"/>
      <c r="Y23" s="32">
        <f t="shared" si="19"/>
        <v>355.43613240768184</v>
      </c>
      <c r="Z23" s="116"/>
      <c r="AA23" s="116"/>
      <c r="AB23" s="117"/>
      <c r="AC23" s="117"/>
    </row>
    <row r="24" spans="1:48" ht="36.75">
      <c r="A24" s="44" t="s">
        <v>62</v>
      </c>
      <c r="B24" s="26" t="s">
        <v>2</v>
      </c>
      <c r="C24" s="26">
        <v>110</v>
      </c>
      <c r="D24" s="25">
        <v>1</v>
      </c>
      <c r="E24" s="27">
        <v>7.15</v>
      </c>
      <c r="F24" s="28">
        <f t="shared" si="20"/>
        <v>7.0100000000000007</v>
      </c>
      <c r="G24" s="62">
        <f t="shared" si="21"/>
        <v>2.3133000000000003E-3</v>
      </c>
      <c r="H24" s="29">
        <v>1.6</v>
      </c>
      <c r="I24" s="30">
        <v>6.7</v>
      </c>
      <c r="J24" s="31">
        <v>8</v>
      </c>
      <c r="K24" s="56">
        <v>9000000000</v>
      </c>
      <c r="L24" s="60">
        <f t="shared" si="12"/>
        <v>1800.0000000000002</v>
      </c>
      <c r="M24" s="58">
        <v>13.8</v>
      </c>
      <c r="N24" s="58">
        <v>43</v>
      </c>
      <c r="O24" s="58">
        <f>H24*F24+M24</f>
        <v>25.016000000000002</v>
      </c>
      <c r="P24" s="58">
        <f>I24/D24*F24+N24</f>
        <v>89.967000000000013</v>
      </c>
      <c r="Q24" s="58">
        <f t="shared" si="14"/>
        <v>8</v>
      </c>
      <c r="R24" s="58">
        <f t="shared" si="25"/>
        <v>5.5659400000000012</v>
      </c>
      <c r="S24" s="32">
        <f t="shared" si="30"/>
        <v>44.52752000000001</v>
      </c>
      <c r="T24" s="31">
        <v>200</v>
      </c>
      <c r="U24" s="32">
        <f>2.718/1.602E-19*O24*0.000000000001*SQRT(1.38E-23*$J$3*P24/(2*T24*0.000000001))</f>
        <v>409.55912194642224</v>
      </c>
      <c r="V24" s="32">
        <f t="shared" si="32"/>
        <v>122.05121798093607</v>
      </c>
      <c r="W24" s="45">
        <f t="shared" si="33"/>
        <v>113.28501301455489</v>
      </c>
      <c r="X24" s="115"/>
      <c r="Y24" s="32">
        <f t="shared" si="19"/>
        <v>442.11838726054157</v>
      </c>
      <c r="Z24" s="116"/>
      <c r="AA24" s="116"/>
      <c r="AB24" s="117"/>
      <c r="AC24" s="117"/>
    </row>
    <row r="25" spans="1:48" ht="36.75">
      <c r="A25" s="44" t="s">
        <v>63</v>
      </c>
      <c r="B25" s="26" t="s">
        <v>2</v>
      </c>
      <c r="C25" s="26">
        <v>110</v>
      </c>
      <c r="D25" s="25">
        <v>2</v>
      </c>
      <c r="E25" s="27">
        <v>7.15</v>
      </c>
      <c r="F25" s="28">
        <f t="shared" si="20"/>
        <v>7.0100000000000007</v>
      </c>
      <c r="G25" s="62">
        <f t="shared" si="21"/>
        <v>4.6266000000000007E-3</v>
      </c>
      <c r="H25" s="29">
        <v>2.2999999999999998</v>
      </c>
      <c r="I25" s="30">
        <v>6.7</v>
      </c>
      <c r="J25" s="31">
        <v>8</v>
      </c>
      <c r="K25" s="56">
        <v>9000000000</v>
      </c>
      <c r="L25" s="60">
        <f t="shared" si="12"/>
        <v>1800.0000000000002</v>
      </c>
      <c r="M25" s="58">
        <v>7</v>
      </c>
      <c r="N25" s="58">
        <v>22</v>
      </c>
      <c r="O25" s="58">
        <f>H25*F25+M25</f>
        <v>23.123000000000001</v>
      </c>
      <c r="P25" s="58">
        <f t="shared" si="24"/>
        <v>45.483500000000006</v>
      </c>
      <c r="Q25" s="58">
        <f t="shared" si="14"/>
        <v>4</v>
      </c>
      <c r="R25" s="58">
        <f t="shared" si="25"/>
        <v>11.131880000000002</v>
      </c>
      <c r="S25" s="32">
        <f t="shared" si="30"/>
        <v>44.52752000000001</v>
      </c>
      <c r="T25" s="31">
        <v>200</v>
      </c>
      <c r="U25" s="32">
        <f t="shared" si="31"/>
        <v>269.17097837363985</v>
      </c>
      <c r="V25" s="32">
        <f t="shared" si="32"/>
        <v>172.60648777279476</v>
      </c>
      <c r="W25" s="45">
        <f t="shared" si="33"/>
        <v>160.20920181879612</v>
      </c>
      <c r="X25" s="115"/>
      <c r="Y25" s="32">
        <f t="shared" si="19"/>
        <v>357.64927452365703</v>
      </c>
      <c r="Z25" s="116"/>
      <c r="AA25" s="116"/>
      <c r="AB25" s="117"/>
      <c r="AC25" s="117"/>
    </row>
    <row r="26" spans="1:48" ht="36.75">
      <c r="A26" s="44" t="s">
        <v>64</v>
      </c>
      <c r="B26" s="25" t="s">
        <v>2</v>
      </c>
      <c r="C26" s="26">
        <v>110</v>
      </c>
      <c r="D26" s="25">
        <v>3</v>
      </c>
      <c r="E26" s="27">
        <v>7.15</v>
      </c>
      <c r="F26" s="28">
        <f t="shared" si="20"/>
        <v>7.0100000000000007</v>
      </c>
      <c r="G26" s="62">
        <f t="shared" si="21"/>
        <v>6.9399000000000006E-3</v>
      </c>
      <c r="H26" s="29">
        <v>2.8</v>
      </c>
      <c r="I26" s="30">
        <v>6.7</v>
      </c>
      <c r="J26" s="31">
        <v>8</v>
      </c>
      <c r="K26" s="56">
        <v>9000000000</v>
      </c>
      <c r="L26" s="60">
        <f t="shared" si="12"/>
        <v>1800.0000000000002</v>
      </c>
      <c r="M26" s="58">
        <v>4.4000000000000004</v>
      </c>
      <c r="N26" s="58">
        <v>14</v>
      </c>
      <c r="O26" s="58">
        <f t="shared" si="13"/>
        <v>24.027999999999999</v>
      </c>
      <c r="P26" s="58">
        <f t="shared" si="24"/>
        <v>29.655666666666669</v>
      </c>
      <c r="Q26" s="58">
        <f t="shared" si="14"/>
        <v>2.6666666666666665</v>
      </c>
      <c r="R26" s="58">
        <f t="shared" si="25"/>
        <v>16.697820000000004</v>
      </c>
      <c r="S26" s="32">
        <f t="shared" si="15"/>
        <v>44.52752000000001</v>
      </c>
      <c r="T26" s="31">
        <v>200</v>
      </c>
      <c r="U26" s="32">
        <f t="shared" si="16"/>
        <v>225.85441500935826</v>
      </c>
      <c r="V26" s="32">
        <f t="shared" si="17"/>
        <v>211.39891066864541</v>
      </c>
      <c r="W26" s="45">
        <f t="shared" si="18"/>
        <v>196.21539827731056</v>
      </c>
      <c r="X26" s="115"/>
      <c r="Y26" s="32">
        <f t="shared" si="19"/>
        <v>366.33345292538183</v>
      </c>
      <c r="Z26" s="116"/>
      <c r="AA26" s="116"/>
      <c r="AB26" s="117"/>
      <c r="AC26" s="117"/>
    </row>
    <row r="27" spans="1:48" ht="18.75">
      <c r="X27" s="115"/>
      <c r="Y27" s="115"/>
      <c r="Z27" s="116"/>
      <c r="AA27" s="116"/>
      <c r="AB27" s="117"/>
      <c r="AC27" s="117"/>
    </row>
    <row r="28" spans="1:48" ht="18.75">
      <c r="X28" s="115"/>
      <c r="Y28" s="115"/>
      <c r="Z28" s="116"/>
      <c r="AA28" s="116"/>
      <c r="AB28" s="117"/>
      <c r="AC28" s="117"/>
    </row>
    <row r="29" spans="1:48" ht="18.75">
      <c r="X29" s="115"/>
      <c r="Y29" s="115"/>
      <c r="Z29" s="116"/>
      <c r="AA29" s="116"/>
      <c r="AB29" s="117"/>
      <c r="AC29" s="117"/>
    </row>
    <row r="30" spans="1:48" ht="18.75">
      <c r="X30" s="115"/>
      <c r="Y30" s="115"/>
      <c r="Z30" s="116"/>
      <c r="AA30" s="116"/>
      <c r="AB30" s="117"/>
      <c r="AC30" s="117"/>
    </row>
    <row r="31" spans="1:48" ht="18.75">
      <c r="X31" s="115"/>
      <c r="Y31" s="115"/>
      <c r="Z31" s="116"/>
      <c r="AA31" s="116"/>
      <c r="AB31" s="117"/>
      <c r="AC31" s="117"/>
    </row>
    <row r="32" spans="1:48" ht="18.75">
      <c r="X32" s="115"/>
      <c r="Y32" s="115"/>
      <c r="Z32" s="116"/>
      <c r="AA32" s="116"/>
      <c r="AB32" s="117"/>
      <c r="AC32" s="117"/>
    </row>
    <row r="33" spans="24:29" ht="18.75">
      <c r="X33" s="115"/>
      <c r="Y33" s="115"/>
      <c r="Z33" s="116"/>
      <c r="AA33" s="116"/>
      <c r="AB33" s="117"/>
      <c r="AC33" s="117"/>
    </row>
    <row r="34" spans="24:29" ht="18.75">
      <c r="X34" s="115"/>
      <c r="Y34" s="115"/>
      <c r="Z34" s="116"/>
      <c r="AA34" s="116"/>
      <c r="AB34" s="117"/>
      <c r="AC34" s="117"/>
    </row>
    <row r="35" spans="24:29" ht="18.75">
      <c r="X35" s="115"/>
      <c r="Y35" s="115"/>
      <c r="Z35" s="116"/>
      <c r="AA35" s="116"/>
      <c r="AB35" s="117"/>
      <c r="AC35" s="117"/>
    </row>
    <row r="36" spans="24:29" ht="18.75">
      <c r="X36" s="115"/>
      <c r="Y36" s="115"/>
      <c r="Z36" s="116"/>
      <c r="AA36" s="116"/>
      <c r="AB36" s="117"/>
      <c r="AC36" s="117"/>
    </row>
    <row r="37" spans="24:29" ht="18.75">
      <c r="X37" s="115"/>
      <c r="Y37" s="115"/>
      <c r="Z37" s="116"/>
      <c r="AA37" s="116"/>
      <c r="AB37" s="117"/>
      <c r="AC37" s="117"/>
    </row>
    <row r="38" spans="24:29" ht="18.75">
      <c r="X38" s="115"/>
      <c r="Y38" s="115"/>
      <c r="Z38" s="116"/>
      <c r="AA38" s="116"/>
      <c r="AB38" s="117"/>
      <c r="AC38" s="11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phi-side</vt:lpstr>
      <vt:lpstr>z-side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2012-01-24T11:31:58Z</cp:lastPrinted>
  <dcterms:created xsi:type="dcterms:W3CDTF">2011-10-17T13:14:27Z</dcterms:created>
  <dcterms:modified xsi:type="dcterms:W3CDTF">2012-03-21T10:34:47Z</dcterms:modified>
</cp:coreProperties>
</file>